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urlongware-my.sharepoint.com/personal/paul_furlongware_co_uk/Documents/"/>
    </mc:Choice>
  </mc:AlternateContent>
  <xr:revisionPtr revIDLastSave="0" documentId="8_{F4465594-D9E4-4DF1-A414-6B2A0C26DB8B}" xr6:coauthVersionLast="47" xr6:coauthVersionMax="47" xr10:uidLastSave="{00000000-0000-0000-0000-000000000000}"/>
  <bookViews>
    <workbookView xWindow="-120" yWindow="-120" windowWidth="29040" windowHeight="16440" xr2:uid="{D018B761-91C6-4356-A941-31601FBFEA7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1" i="1" l="1"/>
  <c r="E171" i="1"/>
  <c r="D171" i="1"/>
  <c r="C171" i="1"/>
  <c r="F170" i="1"/>
  <c r="D170" i="1"/>
  <c r="C170" i="1"/>
  <c r="E170" i="1" s="1"/>
  <c r="F169" i="1"/>
  <c r="E169" i="1"/>
  <c r="D169" i="1"/>
  <c r="C169" i="1"/>
  <c r="G168" i="1"/>
  <c r="C168" i="1"/>
  <c r="F168" i="1" s="1"/>
  <c r="G167" i="1"/>
  <c r="F167" i="1"/>
  <c r="E167" i="1"/>
  <c r="D167" i="1"/>
  <c r="C167" i="1"/>
  <c r="I166" i="1"/>
  <c r="H166" i="1"/>
  <c r="G166" i="1"/>
  <c r="F166" i="1"/>
  <c r="E166" i="1"/>
  <c r="C166" i="1"/>
  <c r="D166" i="1" s="1"/>
  <c r="I165" i="1"/>
  <c r="H165" i="1"/>
  <c r="G165" i="1"/>
  <c r="F165" i="1"/>
  <c r="E165" i="1"/>
  <c r="D165" i="1"/>
  <c r="C165" i="1"/>
  <c r="I164" i="1"/>
  <c r="H164" i="1"/>
  <c r="G164" i="1"/>
  <c r="E164" i="1"/>
  <c r="D164" i="1"/>
  <c r="C164" i="1"/>
  <c r="F164" i="1" s="1"/>
  <c r="I163" i="1"/>
  <c r="H163" i="1"/>
  <c r="G163" i="1"/>
  <c r="D163" i="1"/>
  <c r="C163" i="1"/>
  <c r="F163" i="1" s="1"/>
  <c r="I162" i="1"/>
  <c r="H162" i="1"/>
  <c r="G162" i="1"/>
  <c r="C162" i="1"/>
  <c r="F162" i="1" s="1"/>
  <c r="I161" i="1"/>
  <c r="H161" i="1"/>
  <c r="G161" i="1"/>
  <c r="F161" i="1"/>
  <c r="D161" i="1"/>
  <c r="C161" i="1"/>
  <c r="E161" i="1" s="1"/>
  <c r="I160" i="1"/>
  <c r="H160" i="1"/>
  <c r="G160" i="1"/>
  <c r="F160" i="1"/>
  <c r="E160" i="1"/>
  <c r="C160" i="1"/>
  <c r="D160" i="1" s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I157" i="1"/>
  <c r="H157" i="1"/>
  <c r="G157" i="1"/>
  <c r="F157" i="1"/>
  <c r="E157" i="1"/>
  <c r="D157" i="1"/>
  <c r="C157" i="1"/>
  <c r="I156" i="1"/>
  <c r="H156" i="1"/>
  <c r="G156" i="1"/>
  <c r="E156" i="1"/>
  <c r="D156" i="1"/>
  <c r="C156" i="1"/>
  <c r="F156" i="1" s="1"/>
  <c r="I155" i="1"/>
  <c r="H155" i="1"/>
  <c r="G155" i="1"/>
  <c r="D155" i="1"/>
  <c r="C155" i="1"/>
  <c r="F155" i="1" s="1"/>
  <c r="I154" i="1"/>
  <c r="H154" i="1"/>
  <c r="G154" i="1"/>
  <c r="C154" i="1"/>
  <c r="F154" i="1" s="1"/>
  <c r="I153" i="1"/>
  <c r="H153" i="1"/>
  <c r="G153" i="1"/>
  <c r="F153" i="1"/>
  <c r="D153" i="1"/>
  <c r="C153" i="1"/>
  <c r="E153" i="1" s="1"/>
  <c r="I152" i="1"/>
  <c r="H152" i="1"/>
  <c r="G152" i="1"/>
  <c r="F152" i="1"/>
  <c r="E152" i="1"/>
  <c r="C152" i="1"/>
  <c r="D152" i="1" s="1"/>
  <c r="I151" i="1"/>
  <c r="H151" i="1"/>
  <c r="G151" i="1"/>
  <c r="AM8" i="1" s="1"/>
  <c r="AN8" i="1" s="1"/>
  <c r="AP8" i="1" s="1"/>
  <c r="F151" i="1"/>
  <c r="E151" i="1"/>
  <c r="D151" i="1"/>
  <c r="C151" i="1"/>
  <c r="I150" i="1"/>
  <c r="H150" i="1"/>
  <c r="G150" i="1"/>
  <c r="F150" i="1"/>
  <c r="E150" i="1"/>
  <c r="D150" i="1"/>
  <c r="C150" i="1"/>
  <c r="I149" i="1"/>
  <c r="H149" i="1"/>
  <c r="G149" i="1"/>
  <c r="F149" i="1"/>
  <c r="E149" i="1"/>
  <c r="D149" i="1"/>
  <c r="C149" i="1"/>
  <c r="I148" i="1"/>
  <c r="H148" i="1"/>
  <c r="G148" i="1"/>
  <c r="E148" i="1"/>
  <c r="D148" i="1"/>
  <c r="C148" i="1"/>
  <c r="F148" i="1" s="1"/>
  <c r="I147" i="1"/>
  <c r="H147" i="1"/>
  <c r="G147" i="1"/>
  <c r="D147" i="1"/>
  <c r="C147" i="1"/>
  <c r="F147" i="1" s="1"/>
  <c r="I146" i="1"/>
  <c r="H146" i="1"/>
  <c r="G146" i="1"/>
  <c r="C146" i="1"/>
  <c r="F146" i="1" s="1"/>
  <c r="I145" i="1"/>
  <c r="H145" i="1"/>
  <c r="G145" i="1"/>
  <c r="F145" i="1"/>
  <c r="D145" i="1"/>
  <c r="C145" i="1"/>
  <c r="E145" i="1" s="1"/>
  <c r="I144" i="1"/>
  <c r="H144" i="1"/>
  <c r="G144" i="1"/>
  <c r="F144" i="1"/>
  <c r="E144" i="1"/>
  <c r="C144" i="1"/>
  <c r="D144" i="1" s="1"/>
  <c r="I143" i="1"/>
  <c r="H143" i="1"/>
  <c r="G143" i="1"/>
  <c r="F143" i="1"/>
  <c r="E143" i="1"/>
  <c r="D143" i="1"/>
  <c r="C143" i="1"/>
  <c r="I142" i="1"/>
  <c r="H142" i="1"/>
  <c r="G142" i="1"/>
  <c r="F142" i="1"/>
  <c r="E142" i="1"/>
  <c r="D142" i="1"/>
  <c r="C142" i="1"/>
  <c r="I141" i="1"/>
  <c r="H141" i="1"/>
  <c r="G141" i="1"/>
  <c r="F141" i="1"/>
  <c r="E141" i="1"/>
  <c r="D141" i="1"/>
  <c r="C141" i="1"/>
  <c r="I140" i="1"/>
  <c r="H140" i="1"/>
  <c r="G140" i="1"/>
  <c r="E140" i="1"/>
  <c r="D140" i="1"/>
  <c r="C140" i="1"/>
  <c r="F140" i="1" s="1"/>
  <c r="I139" i="1"/>
  <c r="H139" i="1"/>
  <c r="G139" i="1"/>
  <c r="C139" i="1"/>
  <c r="D139" i="1" s="1"/>
  <c r="I138" i="1"/>
  <c r="H138" i="1"/>
  <c r="G138" i="1"/>
  <c r="C138" i="1"/>
  <c r="F138" i="1" s="1"/>
  <c r="I137" i="1"/>
  <c r="H137" i="1"/>
  <c r="G137" i="1"/>
  <c r="F137" i="1"/>
  <c r="D137" i="1"/>
  <c r="C137" i="1"/>
  <c r="E137" i="1" s="1"/>
  <c r="I136" i="1"/>
  <c r="H136" i="1"/>
  <c r="G136" i="1"/>
  <c r="F136" i="1"/>
  <c r="E136" i="1"/>
  <c r="C136" i="1"/>
  <c r="D136" i="1" s="1"/>
  <c r="I135" i="1"/>
  <c r="H135" i="1"/>
  <c r="G135" i="1"/>
  <c r="AM16" i="1" s="1"/>
  <c r="AN16" i="1" s="1"/>
  <c r="AP16" i="1" s="1"/>
  <c r="F135" i="1"/>
  <c r="E135" i="1"/>
  <c r="D135" i="1"/>
  <c r="C135" i="1"/>
  <c r="I134" i="1"/>
  <c r="H134" i="1"/>
  <c r="G134" i="1"/>
  <c r="AM15" i="1" s="1"/>
  <c r="AN15" i="1" s="1"/>
  <c r="AP15" i="1" s="1"/>
  <c r="F134" i="1"/>
  <c r="E134" i="1"/>
  <c r="D134" i="1"/>
  <c r="C134" i="1"/>
  <c r="I133" i="1"/>
  <c r="H133" i="1"/>
  <c r="G133" i="1"/>
  <c r="F133" i="1"/>
  <c r="E133" i="1"/>
  <c r="D133" i="1"/>
  <c r="C133" i="1"/>
  <c r="I132" i="1"/>
  <c r="H132" i="1"/>
  <c r="G132" i="1"/>
  <c r="E132" i="1"/>
  <c r="D132" i="1"/>
  <c r="C132" i="1"/>
  <c r="F132" i="1" s="1"/>
  <c r="I131" i="1"/>
  <c r="H131" i="1"/>
  <c r="G131" i="1"/>
  <c r="C131" i="1"/>
  <c r="D131" i="1" s="1"/>
  <c r="I130" i="1"/>
  <c r="H130" i="1"/>
  <c r="G130" i="1"/>
  <c r="C130" i="1"/>
  <c r="F130" i="1" s="1"/>
  <c r="I129" i="1"/>
  <c r="H129" i="1"/>
  <c r="G129" i="1"/>
  <c r="F129" i="1"/>
  <c r="D129" i="1"/>
  <c r="C129" i="1"/>
  <c r="E129" i="1" s="1"/>
  <c r="I128" i="1"/>
  <c r="H128" i="1"/>
  <c r="G128" i="1"/>
  <c r="F128" i="1"/>
  <c r="E128" i="1"/>
  <c r="C128" i="1"/>
  <c r="D128" i="1" s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I124" i="1"/>
  <c r="H124" i="1"/>
  <c r="G124" i="1"/>
  <c r="E124" i="1"/>
  <c r="D124" i="1"/>
  <c r="C124" i="1"/>
  <c r="F124" i="1" s="1"/>
  <c r="I123" i="1"/>
  <c r="H123" i="1"/>
  <c r="G123" i="1"/>
  <c r="C123" i="1"/>
  <c r="D123" i="1" s="1"/>
  <c r="I122" i="1"/>
  <c r="H122" i="1"/>
  <c r="G122" i="1"/>
  <c r="C122" i="1"/>
  <c r="F122" i="1" s="1"/>
  <c r="I121" i="1"/>
  <c r="H121" i="1"/>
  <c r="G121" i="1"/>
  <c r="F121" i="1"/>
  <c r="D121" i="1"/>
  <c r="C121" i="1"/>
  <c r="E121" i="1" s="1"/>
  <c r="I120" i="1"/>
  <c r="H120" i="1"/>
  <c r="G120" i="1"/>
  <c r="F120" i="1"/>
  <c r="E120" i="1"/>
  <c r="C120" i="1"/>
  <c r="D120" i="1" s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E116" i="1"/>
  <c r="D116" i="1"/>
  <c r="C116" i="1"/>
  <c r="F116" i="1" s="1"/>
  <c r="I115" i="1"/>
  <c r="H115" i="1"/>
  <c r="G115" i="1"/>
  <c r="C115" i="1"/>
  <c r="D115" i="1" s="1"/>
  <c r="I114" i="1"/>
  <c r="H114" i="1"/>
  <c r="G114" i="1"/>
  <c r="C114" i="1"/>
  <c r="F114" i="1" s="1"/>
  <c r="I113" i="1"/>
  <c r="H113" i="1"/>
  <c r="G113" i="1"/>
  <c r="F113" i="1"/>
  <c r="D113" i="1"/>
  <c r="C113" i="1"/>
  <c r="E113" i="1" s="1"/>
  <c r="I112" i="1"/>
  <c r="H112" i="1"/>
  <c r="G112" i="1"/>
  <c r="F112" i="1"/>
  <c r="E112" i="1"/>
  <c r="C112" i="1"/>
  <c r="D112" i="1" s="1"/>
  <c r="I111" i="1"/>
  <c r="H111" i="1"/>
  <c r="G111" i="1"/>
  <c r="F111" i="1"/>
  <c r="E111" i="1"/>
  <c r="D111" i="1"/>
  <c r="C111" i="1"/>
  <c r="I110" i="1"/>
  <c r="H110" i="1"/>
  <c r="G110" i="1"/>
  <c r="F110" i="1"/>
  <c r="E110" i="1"/>
  <c r="C110" i="1"/>
  <c r="D110" i="1" s="1"/>
  <c r="I109" i="1"/>
  <c r="H109" i="1"/>
  <c r="G109" i="1"/>
  <c r="F109" i="1"/>
  <c r="E109" i="1"/>
  <c r="D109" i="1"/>
  <c r="C109" i="1"/>
  <c r="I108" i="1"/>
  <c r="H108" i="1"/>
  <c r="G108" i="1"/>
  <c r="C108" i="1"/>
  <c r="D108" i="1" s="1"/>
  <c r="I107" i="1"/>
  <c r="H107" i="1"/>
  <c r="G107" i="1"/>
  <c r="C107" i="1"/>
  <c r="F107" i="1" s="1"/>
  <c r="I106" i="1"/>
  <c r="H106" i="1"/>
  <c r="G106" i="1"/>
  <c r="F106" i="1"/>
  <c r="D106" i="1"/>
  <c r="C106" i="1"/>
  <c r="E106" i="1" s="1"/>
  <c r="G105" i="1"/>
  <c r="F105" i="1"/>
  <c r="E105" i="1"/>
  <c r="C105" i="1"/>
  <c r="D105" i="1" s="1"/>
  <c r="G104" i="1"/>
  <c r="C104" i="1"/>
  <c r="D104" i="1" s="1"/>
  <c r="G103" i="1"/>
  <c r="F103" i="1"/>
  <c r="E103" i="1"/>
  <c r="C103" i="1"/>
  <c r="D103" i="1" s="1"/>
  <c r="G102" i="1"/>
  <c r="F102" i="1"/>
  <c r="E102" i="1"/>
  <c r="D102" i="1"/>
  <c r="C102" i="1"/>
  <c r="G101" i="1"/>
  <c r="C101" i="1"/>
  <c r="F101" i="1" s="1"/>
  <c r="G100" i="1"/>
  <c r="F100" i="1"/>
  <c r="E100" i="1"/>
  <c r="D100" i="1"/>
  <c r="C100" i="1"/>
  <c r="G99" i="1"/>
  <c r="E99" i="1"/>
  <c r="D99" i="1"/>
  <c r="C99" i="1"/>
  <c r="F99" i="1" s="1"/>
  <c r="G98" i="1"/>
  <c r="F98" i="1"/>
  <c r="D98" i="1"/>
  <c r="C98" i="1"/>
  <c r="E98" i="1" s="1"/>
  <c r="G97" i="1"/>
  <c r="F97" i="1"/>
  <c r="E97" i="1"/>
  <c r="C97" i="1"/>
  <c r="D97" i="1" s="1"/>
  <c r="G96" i="1"/>
  <c r="C96" i="1"/>
  <c r="F96" i="1" s="1"/>
  <c r="G95" i="1"/>
  <c r="F95" i="1"/>
  <c r="E95" i="1"/>
  <c r="C95" i="1"/>
  <c r="D95" i="1" s="1"/>
  <c r="G94" i="1"/>
  <c r="F94" i="1"/>
  <c r="E94" i="1"/>
  <c r="D94" i="1"/>
  <c r="C94" i="1"/>
  <c r="G93" i="1"/>
  <c r="C93" i="1"/>
  <c r="F93" i="1" s="1"/>
  <c r="G92" i="1"/>
  <c r="F92" i="1"/>
  <c r="E92" i="1"/>
  <c r="D92" i="1"/>
  <c r="C92" i="1"/>
  <c r="G91" i="1"/>
  <c r="E91" i="1"/>
  <c r="D91" i="1"/>
  <c r="C91" i="1"/>
  <c r="F91" i="1" s="1"/>
  <c r="G90" i="1"/>
  <c r="F90" i="1"/>
  <c r="E90" i="1"/>
  <c r="D90" i="1"/>
  <c r="C90" i="1"/>
  <c r="G89" i="1"/>
  <c r="F89" i="1"/>
  <c r="E89" i="1"/>
  <c r="C89" i="1"/>
  <c r="D89" i="1" s="1"/>
  <c r="G88" i="1"/>
  <c r="C88" i="1"/>
  <c r="D88" i="1" s="1"/>
  <c r="G87" i="1"/>
  <c r="F87" i="1"/>
  <c r="E87" i="1"/>
  <c r="D87" i="1"/>
  <c r="C87" i="1"/>
  <c r="G86" i="1"/>
  <c r="F86" i="1"/>
  <c r="E86" i="1"/>
  <c r="D86" i="1"/>
  <c r="C86" i="1"/>
  <c r="G85" i="1"/>
  <c r="C85" i="1"/>
  <c r="F85" i="1" s="1"/>
  <c r="G84" i="1"/>
  <c r="F84" i="1"/>
  <c r="C84" i="1"/>
  <c r="E84" i="1" s="1"/>
  <c r="G83" i="1"/>
  <c r="E83" i="1"/>
  <c r="D83" i="1"/>
  <c r="C83" i="1"/>
  <c r="F83" i="1" s="1"/>
  <c r="G82" i="1"/>
  <c r="F82" i="1"/>
  <c r="E82" i="1"/>
  <c r="C82" i="1"/>
  <c r="D82" i="1" s="1"/>
  <c r="G81" i="1"/>
  <c r="F81" i="1"/>
  <c r="E81" i="1"/>
  <c r="C81" i="1"/>
  <c r="D81" i="1" s="1"/>
  <c r="G80" i="1"/>
  <c r="C80" i="1"/>
  <c r="D80" i="1" s="1"/>
  <c r="G79" i="1"/>
  <c r="F79" i="1"/>
  <c r="E79" i="1"/>
  <c r="D79" i="1"/>
  <c r="C79" i="1"/>
  <c r="G78" i="1"/>
  <c r="F78" i="1"/>
  <c r="E78" i="1"/>
  <c r="D78" i="1"/>
  <c r="C78" i="1"/>
  <c r="G77" i="1"/>
  <c r="C77" i="1"/>
  <c r="F77" i="1" s="1"/>
  <c r="G76" i="1"/>
  <c r="F76" i="1"/>
  <c r="C76" i="1"/>
  <c r="E76" i="1" s="1"/>
  <c r="G75" i="1"/>
  <c r="E75" i="1"/>
  <c r="D75" i="1"/>
  <c r="C75" i="1"/>
  <c r="F75" i="1" s="1"/>
  <c r="G74" i="1"/>
  <c r="F74" i="1"/>
  <c r="E74" i="1"/>
  <c r="C74" i="1"/>
  <c r="D74" i="1" s="1"/>
  <c r="G73" i="1"/>
  <c r="F73" i="1"/>
  <c r="E73" i="1"/>
  <c r="C73" i="1"/>
  <c r="D73" i="1" s="1"/>
  <c r="G72" i="1"/>
  <c r="C72" i="1"/>
  <c r="D72" i="1" s="1"/>
  <c r="G71" i="1"/>
  <c r="F71" i="1"/>
  <c r="E71" i="1"/>
  <c r="D71" i="1"/>
  <c r="C71" i="1"/>
  <c r="G70" i="1"/>
  <c r="F70" i="1"/>
  <c r="E70" i="1"/>
  <c r="D70" i="1"/>
  <c r="C70" i="1"/>
  <c r="G69" i="1"/>
  <c r="C69" i="1"/>
  <c r="F69" i="1" s="1"/>
  <c r="G68" i="1"/>
  <c r="F68" i="1"/>
  <c r="C68" i="1"/>
  <c r="E68" i="1" s="1"/>
  <c r="G67" i="1"/>
  <c r="E67" i="1"/>
  <c r="D67" i="1"/>
  <c r="C67" i="1"/>
  <c r="F67" i="1" s="1"/>
  <c r="G66" i="1"/>
  <c r="F66" i="1"/>
  <c r="E66" i="1"/>
  <c r="C66" i="1"/>
  <c r="D66" i="1" s="1"/>
  <c r="G65" i="1"/>
  <c r="F65" i="1"/>
  <c r="E65" i="1"/>
  <c r="C65" i="1"/>
  <c r="D65" i="1" s="1"/>
  <c r="G64" i="1"/>
  <c r="C64" i="1"/>
  <c r="D64" i="1" s="1"/>
  <c r="G63" i="1"/>
  <c r="F63" i="1"/>
  <c r="E63" i="1"/>
  <c r="D63" i="1"/>
  <c r="C63" i="1"/>
  <c r="G62" i="1"/>
  <c r="F62" i="1"/>
  <c r="E62" i="1"/>
  <c r="D62" i="1"/>
  <c r="C62" i="1"/>
  <c r="G61" i="1"/>
  <c r="C61" i="1"/>
  <c r="F61" i="1" s="1"/>
  <c r="G60" i="1"/>
  <c r="F60" i="1"/>
  <c r="C60" i="1"/>
  <c r="E60" i="1" s="1"/>
  <c r="G59" i="1"/>
  <c r="E59" i="1"/>
  <c r="D59" i="1"/>
  <c r="C59" i="1"/>
  <c r="F59" i="1" s="1"/>
  <c r="G58" i="1"/>
  <c r="F58" i="1"/>
  <c r="E58" i="1"/>
  <c r="C58" i="1"/>
  <c r="D58" i="1" s="1"/>
  <c r="G57" i="1"/>
  <c r="F57" i="1"/>
  <c r="E57" i="1"/>
  <c r="C57" i="1"/>
  <c r="D57" i="1" s="1"/>
  <c r="G56" i="1"/>
  <c r="C56" i="1"/>
  <c r="D56" i="1" s="1"/>
  <c r="G55" i="1"/>
  <c r="F55" i="1"/>
  <c r="E55" i="1"/>
  <c r="D55" i="1"/>
  <c r="C55" i="1"/>
  <c r="G54" i="1"/>
  <c r="F54" i="1"/>
  <c r="E54" i="1"/>
  <c r="D54" i="1"/>
  <c r="C54" i="1"/>
  <c r="G53" i="1"/>
  <c r="C53" i="1"/>
  <c r="F53" i="1" s="1"/>
  <c r="G52" i="1"/>
  <c r="F52" i="1"/>
  <c r="C52" i="1"/>
  <c r="E52" i="1" s="1"/>
  <c r="G51" i="1"/>
  <c r="E51" i="1"/>
  <c r="D51" i="1"/>
  <c r="C51" i="1"/>
  <c r="F51" i="1" s="1"/>
  <c r="G50" i="1"/>
  <c r="F50" i="1"/>
  <c r="E50" i="1"/>
  <c r="C50" i="1"/>
  <c r="D50" i="1" s="1"/>
  <c r="Z49" i="1"/>
  <c r="G49" i="1"/>
  <c r="F49" i="1"/>
  <c r="C49" i="1"/>
  <c r="E49" i="1" s="1"/>
  <c r="Z48" i="1"/>
  <c r="G48" i="1"/>
  <c r="F48" i="1"/>
  <c r="E48" i="1"/>
  <c r="D48" i="1"/>
  <c r="C48" i="1"/>
  <c r="Z47" i="1"/>
  <c r="G47" i="1"/>
  <c r="C47" i="1"/>
  <c r="F47" i="1" s="1"/>
  <c r="Z46" i="1"/>
  <c r="G46" i="1"/>
  <c r="F46" i="1"/>
  <c r="E46" i="1"/>
  <c r="C46" i="1"/>
  <c r="D46" i="1" s="1"/>
  <c r="Z45" i="1"/>
  <c r="X45" i="1"/>
  <c r="W45" i="1"/>
  <c r="G45" i="1"/>
  <c r="C45" i="1"/>
  <c r="D45" i="1" s="1"/>
  <c r="AT44" i="1"/>
  <c r="AS44" i="1"/>
  <c r="Z44" i="1"/>
  <c r="X44" i="1"/>
  <c r="W44" i="1"/>
  <c r="G44" i="1"/>
  <c r="C44" i="1"/>
  <c r="F44" i="1" s="1"/>
  <c r="AU43" i="1"/>
  <c r="AU44" i="1" s="1"/>
  <c r="AV44" i="1" s="1"/>
  <c r="AW44" i="1" s="1"/>
  <c r="Z43" i="1"/>
  <c r="X43" i="1"/>
  <c r="W43" i="1"/>
  <c r="G43" i="1"/>
  <c r="F43" i="1"/>
  <c r="E43" i="1"/>
  <c r="C43" i="1"/>
  <c r="D43" i="1" s="1"/>
  <c r="AV42" i="1"/>
  <c r="Z42" i="1"/>
  <c r="W42" i="1"/>
  <c r="X42" i="1" s="1"/>
  <c r="G42" i="1"/>
  <c r="F42" i="1"/>
  <c r="E42" i="1"/>
  <c r="C42" i="1"/>
  <c r="D42" i="1" s="1"/>
  <c r="AS41" i="1"/>
  <c r="AV41" i="1" s="1"/>
  <c r="AV43" i="1" s="1"/>
  <c r="Z41" i="1"/>
  <c r="W41" i="1"/>
  <c r="X41" i="1" s="1"/>
  <c r="G41" i="1"/>
  <c r="F41" i="1"/>
  <c r="E41" i="1"/>
  <c r="D41" i="1"/>
  <c r="C41" i="1"/>
  <c r="AV40" i="1"/>
  <c r="Z40" i="1"/>
  <c r="W40" i="1"/>
  <c r="X40" i="1" s="1"/>
  <c r="G40" i="1"/>
  <c r="F40" i="1"/>
  <c r="E40" i="1"/>
  <c r="D40" i="1"/>
  <c r="C40" i="1"/>
  <c r="AV39" i="1"/>
  <c r="Z39" i="1"/>
  <c r="X39" i="1"/>
  <c r="W39" i="1"/>
  <c r="G39" i="1"/>
  <c r="C39" i="1"/>
  <c r="F39" i="1" s="1"/>
  <c r="AV38" i="1"/>
  <c r="Z38" i="1"/>
  <c r="X38" i="1"/>
  <c r="W38" i="1"/>
  <c r="G38" i="1"/>
  <c r="F38" i="1"/>
  <c r="E38" i="1"/>
  <c r="C38" i="1"/>
  <c r="D38" i="1" s="1"/>
  <c r="Z37" i="1"/>
  <c r="W37" i="1"/>
  <c r="X37" i="1" s="1"/>
  <c r="S37" i="1"/>
  <c r="S38" i="1" s="1"/>
  <c r="S39" i="1" s="1"/>
  <c r="S40" i="1" s="1"/>
  <c r="S41" i="1" s="1"/>
  <c r="S42" i="1" s="1"/>
  <c r="S43" i="1" s="1"/>
  <c r="S44" i="1" s="1"/>
  <c r="S45" i="1" s="1"/>
  <c r="G37" i="1"/>
  <c r="F37" i="1"/>
  <c r="E37" i="1"/>
  <c r="D37" i="1"/>
  <c r="C37" i="1"/>
  <c r="Z36" i="1"/>
  <c r="Y36" i="1"/>
  <c r="Y37" i="1" s="1"/>
  <c r="Y38" i="1" s="1"/>
  <c r="Y39" i="1" s="1"/>
  <c r="Y40" i="1" s="1"/>
  <c r="Y41" i="1" s="1"/>
  <c r="Y42" i="1" s="1"/>
  <c r="Y43" i="1" s="1"/>
  <c r="Y44" i="1" s="1"/>
  <c r="Y45" i="1" s="1"/>
  <c r="W36" i="1"/>
  <c r="X36" i="1" s="1"/>
  <c r="S36" i="1"/>
  <c r="G36" i="1"/>
  <c r="F36" i="1"/>
  <c r="E36" i="1"/>
  <c r="D36" i="1"/>
  <c r="C36" i="1"/>
  <c r="X35" i="1"/>
  <c r="G35" i="1"/>
  <c r="F35" i="1"/>
  <c r="E35" i="1"/>
  <c r="D35" i="1"/>
  <c r="C35" i="1"/>
  <c r="G34" i="1"/>
  <c r="E34" i="1"/>
  <c r="D34" i="1"/>
  <c r="C34" i="1"/>
  <c r="F34" i="1" s="1"/>
  <c r="G33" i="1"/>
  <c r="F33" i="1"/>
  <c r="C33" i="1"/>
  <c r="E33" i="1" s="1"/>
  <c r="G32" i="1"/>
  <c r="F32" i="1"/>
  <c r="E32" i="1"/>
  <c r="C32" i="1"/>
  <c r="D32" i="1" s="1"/>
  <c r="G31" i="1"/>
  <c r="E31" i="1"/>
  <c r="D31" i="1"/>
  <c r="C31" i="1"/>
  <c r="F31" i="1" s="1"/>
  <c r="G30" i="1"/>
  <c r="F30" i="1"/>
  <c r="C30" i="1"/>
  <c r="E30" i="1" s="1"/>
  <c r="G29" i="1"/>
  <c r="C29" i="1"/>
  <c r="F29" i="1" s="1"/>
  <c r="G28" i="1"/>
  <c r="F28" i="1"/>
  <c r="E28" i="1"/>
  <c r="D28" i="1"/>
  <c r="C28" i="1"/>
  <c r="K27" i="1"/>
  <c r="G27" i="1"/>
  <c r="F27" i="1"/>
  <c r="E27" i="1"/>
  <c r="D27" i="1"/>
  <c r="AV26" i="1"/>
  <c r="K26" i="1"/>
  <c r="G26" i="1"/>
  <c r="F26" i="1"/>
  <c r="E26" i="1"/>
  <c r="D26" i="1"/>
  <c r="AV25" i="1"/>
  <c r="K25" i="1"/>
  <c r="G25" i="1"/>
  <c r="F25" i="1"/>
  <c r="E25" i="1"/>
  <c r="D25" i="1"/>
  <c r="AV24" i="1"/>
  <c r="K24" i="1"/>
  <c r="G24" i="1"/>
  <c r="F24" i="1"/>
  <c r="E24" i="1"/>
  <c r="D24" i="1"/>
  <c r="AV23" i="1"/>
  <c r="K23" i="1"/>
  <c r="G23" i="1"/>
  <c r="F23" i="1"/>
  <c r="E23" i="1"/>
  <c r="D23" i="1"/>
  <c r="AV22" i="1"/>
  <c r="K22" i="1"/>
  <c r="G22" i="1"/>
  <c r="F22" i="1"/>
  <c r="E22" i="1"/>
  <c r="D22" i="1"/>
  <c r="AV21" i="1"/>
  <c r="K21" i="1"/>
  <c r="G21" i="1"/>
  <c r="F21" i="1"/>
  <c r="E21" i="1"/>
  <c r="D21" i="1"/>
  <c r="AV20" i="1"/>
  <c r="K20" i="1"/>
  <c r="G20" i="1"/>
  <c r="F20" i="1"/>
  <c r="E20" i="1"/>
  <c r="D20" i="1"/>
  <c r="AV19" i="1"/>
  <c r="AV28" i="1" s="1"/>
  <c r="K19" i="1"/>
  <c r="G19" i="1"/>
  <c r="F19" i="1"/>
  <c r="E19" i="1"/>
  <c r="D19" i="1"/>
  <c r="AO18" i="1"/>
  <c r="AJ18" i="1"/>
  <c r="K18" i="1"/>
  <c r="G18" i="1"/>
  <c r="F18" i="1"/>
  <c r="E18" i="1"/>
  <c r="D18" i="1"/>
  <c r="K17" i="1"/>
  <c r="G17" i="1"/>
  <c r="F17" i="1"/>
  <c r="E17" i="1"/>
  <c r="D17" i="1"/>
  <c r="AO16" i="1"/>
  <c r="AJ16" i="1"/>
  <c r="AK16" i="1" s="1"/>
  <c r="AI16" i="1"/>
  <c r="K16" i="1"/>
  <c r="G16" i="1"/>
  <c r="F16" i="1"/>
  <c r="E16" i="1"/>
  <c r="D16" i="1"/>
  <c r="AO15" i="1"/>
  <c r="AK15" i="1"/>
  <c r="AJ15" i="1"/>
  <c r="AI15" i="1"/>
  <c r="G15" i="1"/>
  <c r="F15" i="1"/>
  <c r="E15" i="1"/>
  <c r="D15" i="1"/>
  <c r="AO14" i="1"/>
  <c r="AM14" i="1"/>
  <c r="AN14" i="1" s="1"/>
  <c r="AP14" i="1" s="1"/>
  <c r="AJ14" i="1"/>
  <c r="AK14" i="1" s="1"/>
  <c r="AI14" i="1"/>
  <c r="G14" i="1"/>
  <c r="F14" i="1"/>
  <c r="E14" i="1"/>
  <c r="D14" i="1"/>
  <c r="AO13" i="1"/>
  <c r="AN13" i="1"/>
  <c r="AP13" i="1" s="1"/>
  <c r="AM13" i="1"/>
  <c r="AJ13" i="1"/>
  <c r="AK13" i="1" s="1"/>
  <c r="AI13" i="1"/>
  <c r="G13" i="1"/>
  <c r="F13" i="1"/>
  <c r="E13" i="1"/>
  <c r="D13" i="1"/>
  <c r="AO12" i="1"/>
  <c r="AN12" i="1"/>
  <c r="AP12" i="1" s="1"/>
  <c r="AM12" i="1"/>
  <c r="AJ12" i="1"/>
  <c r="AK12" i="1" s="1"/>
  <c r="AI12" i="1"/>
  <c r="G12" i="1"/>
  <c r="F12" i="1"/>
  <c r="E12" i="1"/>
  <c r="D12" i="1"/>
  <c r="AO11" i="1"/>
  <c r="AM11" i="1"/>
  <c r="AN11" i="1" s="1"/>
  <c r="AP11" i="1" s="1"/>
  <c r="AK11" i="1"/>
  <c r="AJ11" i="1"/>
  <c r="AI11" i="1"/>
  <c r="G11" i="1"/>
  <c r="F11" i="1"/>
  <c r="E11" i="1"/>
  <c r="D11" i="1"/>
  <c r="AS10" i="1"/>
  <c r="AS13" i="1" s="1"/>
  <c r="AR10" i="1"/>
  <c r="AO10" i="1"/>
  <c r="AN10" i="1"/>
  <c r="AP10" i="1" s="1"/>
  <c r="AM10" i="1"/>
  <c r="AJ10" i="1"/>
  <c r="AK10" i="1" s="1"/>
  <c r="AI10" i="1"/>
  <c r="AI18" i="1" s="1"/>
  <c r="AJ19" i="1" s="1"/>
  <c r="G10" i="1"/>
  <c r="F10" i="1"/>
  <c r="E10" i="1"/>
  <c r="D10" i="1"/>
  <c r="AO9" i="1"/>
  <c r="AM9" i="1"/>
  <c r="AN9" i="1" s="1"/>
  <c r="AP9" i="1" s="1"/>
  <c r="AK9" i="1"/>
  <c r="AJ9" i="1"/>
  <c r="AI9" i="1"/>
  <c r="G9" i="1"/>
  <c r="F9" i="1"/>
  <c r="E9" i="1"/>
  <c r="D9" i="1"/>
  <c r="AO8" i="1"/>
  <c r="AK8" i="1"/>
  <c r="AJ8" i="1"/>
  <c r="AI8" i="1"/>
  <c r="G8" i="1"/>
  <c r="F8" i="1"/>
  <c r="E8" i="1"/>
  <c r="D8" i="1"/>
  <c r="AS7" i="1"/>
  <c r="AO7" i="1"/>
  <c r="AM7" i="1"/>
  <c r="AN7" i="1" s="1"/>
  <c r="AP7" i="1" s="1"/>
  <c r="AJ7" i="1"/>
  <c r="AK7" i="1" s="1"/>
  <c r="AI7" i="1"/>
  <c r="F7" i="1"/>
  <c r="E7" i="1"/>
  <c r="D7" i="1"/>
  <c r="AO6" i="1"/>
  <c r="AM6" i="1"/>
  <c r="AN6" i="1" s="1"/>
  <c r="AP6" i="1" s="1"/>
  <c r="AK6" i="1"/>
  <c r="AJ6" i="1"/>
  <c r="AI6" i="1"/>
  <c r="F6" i="1"/>
  <c r="E6" i="1"/>
  <c r="D6" i="1"/>
  <c r="AO5" i="1"/>
  <c r="AP5" i="1" s="1"/>
  <c r="AN5" i="1"/>
  <c r="AM5" i="1"/>
  <c r="AK5" i="1"/>
  <c r="AJ5" i="1"/>
  <c r="AI5" i="1"/>
  <c r="D5" i="1"/>
  <c r="D4" i="1"/>
  <c r="AK18" i="1" l="1"/>
  <c r="AK19" i="1" s="1"/>
  <c r="AN18" i="1"/>
  <c r="AP18" i="1"/>
  <c r="AV29" i="1"/>
  <c r="AV30" i="1"/>
  <c r="L26" i="1"/>
  <c r="BB34" i="1" s="1"/>
  <c r="D39" i="1"/>
  <c r="D29" i="1"/>
  <c r="E39" i="1"/>
  <c r="L19" i="1" s="1"/>
  <c r="BB27" i="1" s="1"/>
  <c r="BE27" i="1" s="1"/>
  <c r="D44" i="1"/>
  <c r="E45" i="1"/>
  <c r="E47" i="1"/>
  <c r="D53" i="1"/>
  <c r="E56" i="1"/>
  <c r="D61" i="1"/>
  <c r="E64" i="1"/>
  <c r="D69" i="1"/>
  <c r="E72" i="1"/>
  <c r="D77" i="1"/>
  <c r="E80" i="1"/>
  <c r="D85" i="1"/>
  <c r="E88" i="1"/>
  <c r="D93" i="1"/>
  <c r="E96" i="1"/>
  <c r="D101" i="1"/>
  <c r="E104" i="1"/>
  <c r="M18" i="1" s="1"/>
  <c r="D107" i="1"/>
  <c r="F108" i="1"/>
  <c r="D114" i="1"/>
  <c r="E115" i="1"/>
  <c r="D122" i="1"/>
  <c r="E123" i="1"/>
  <c r="D130" i="1"/>
  <c r="E131" i="1"/>
  <c r="D138" i="1"/>
  <c r="E139" i="1"/>
  <c r="D146" i="1"/>
  <c r="E147" i="1"/>
  <c r="D154" i="1"/>
  <c r="E155" i="1"/>
  <c r="D162" i="1"/>
  <c r="E163" i="1"/>
  <c r="D168" i="1"/>
  <c r="D47" i="1"/>
  <c r="D96" i="1"/>
  <c r="E29" i="1"/>
  <c r="L24" i="1" s="1"/>
  <c r="BB32" i="1" s="1"/>
  <c r="BE32" i="1" s="1"/>
  <c r="E44" i="1"/>
  <c r="F45" i="1"/>
  <c r="E53" i="1"/>
  <c r="F56" i="1"/>
  <c r="E61" i="1"/>
  <c r="F64" i="1"/>
  <c r="E69" i="1"/>
  <c r="F72" i="1"/>
  <c r="E77" i="1"/>
  <c r="F80" i="1"/>
  <c r="E85" i="1"/>
  <c r="F88" i="1"/>
  <c r="E93" i="1"/>
  <c r="E101" i="1"/>
  <c r="L20" i="1" s="1"/>
  <c r="BB28" i="1" s="1"/>
  <c r="BE28" i="1" s="1"/>
  <c r="F104" i="1"/>
  <c r="E107" i="1"/>
  <c r="E114" i="1"/>
  <c r="F115" i="1"/>
  <c r="E122" i="1"/>
  <c r="F123" i="1"/>
  <c r="E130" i="1"/>
  <c r="F131" i="1"/>
  <c r="E138" i="1"/>
  <c r="F139" i="1"/>
  <c r="E146" i="1"/>
  <c r="E154" i="1"/>
  <c r="E162" i="1"/>
  <c r="E168" i="1"/>
  <c r="L17" i="1"/>
  <c r="BB25" i="1" s="1"/>
  <c r="D30" i="1"/>
  <c r="D33" i="1"/>
  <c r="D49" i="1"/>
  <c r="D52" i="1"/>
  <c r="D60" i="1"/>
  <c r="D68" i="1"/>
  <c r="D76" i="1"/>
  <c r="D84" i="1"/>
  <c r="N18" i="1" l="1"/>
  <c r="BC26" i="1"/>
  <c r="BF26" i="1" s="1"/>
  <c r="L23" i="1"/>
  <c r="BB31" i="1" s="1"/>
  <c r="BE31" i="1" s="1"/>
  <c r="M25" i="1"/>
  <c r="L22" i="1"/>
  <c r="BB30" i="1" s="1"/>
  <c r="BE30" i="1" s="1"/>
  <c r="AV31" i="1"/>
  <c r="AV33" i="1" s="1"/>
  <c r="L21" i="1"/>
  <c r="BB29" i="1" s="1"/>
  <c r="BE29" i="1" s="1"/>
  <c r="M20" i="1"/>
  <c r="M16" i="1"/>
  <c r="M26" i="1"/>
  <c r="M21" i="1"/>
  <c r="M22" i="1"/>
  <c r="M27" i="1"/>
  <c r="M17" i="1"/>
  <c r="M23" i="1"/>
  <c r="L16" i="1"/>
  <c r="BB24" i="1" s="1"/>
  <c r="L27" i="1"/>
  <c r="BB35" i="1" s="1"/>
  <c r="M19" i="1"/>
  <c r="L25" i="1"/>
  <c r="BB33" i="1" s="1"/>
  <c r="BE33" i="1" s="1"/>
  <c r="L18" i="1"/>
  <c r="BB26" i="1" s="1"/>
  <c r="BE26" i="1" s="1"/>
  <c r="M24" i="1"/>
  <c r="BC31" i="1" l="1"/>
  <c r="BF31" i="1" s="1"/>
  <c r="BG31" i="1" s="1"/>
  <c r="N23" i="1"/>
  <c r="N17" i="1"/>
  <c r="BC25" i="1"/>
  <c r="N24" i="1"/>
  <c r="BC32" i="1"/>
  <c r="BF32" i="1" s="1"/>
  <c r="BG32" i="1" s="1"/>
  <c r="BC35" i="1"/>
  <c r="N27" i="1"/>
  <c r="BE36" i="1"/>
  <c r="BC30" i="1"/>
  <c r="BF30" i="1" s="1"/>
  <c r="BG30" i="1" s="1"/>
  <c r="N22" i="1"/>
  <c r="BC29" i="1"/>
  <c r="BF29" i="1" s="1"/>
  <c r="BG29" i="1" s="1"/>
  <c r="N21" i="1"/>
  <c r="N25" i="1"/>
  <c r="BC33" i="1"/>
  <c r="BF33" i="1" s="1"/>
  <c r="BG33" i="1" s="1"/>
  <c r="N19" i="1"/>
  <c r="BC27" i="1"/>
  <c r="BF27" i="1" s="1"/>
  <c r="BG27" i="1" s="1"/>
  <c r="BC34" i="1"/>
  <c r="N26" i="1"/>
  <c r="BC24" i="1"/>
  <c r="N16" i="1"/>
  <c r="BG26" i="1"/>
  <c r="BC28" i="1"/>
  <c r="BF28" i="1" s="1"/>
  <c r="BG28" i="1" s="1"/>
  <c r="N20" i="1"/>
  <c r="BF36" i="1" l="1"/>
  <c r="BG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H Davies</author>
  </authors>
  <commentList>
    <comment ref="AR19" authorId="0" shapeId="0" xr:uid="{29A22323-212B-4D88-B7D0-0DEF7C958ACC}">
      <text>
        <r>
          <rPr>
            <b/>
            <sz val="9"/>
            <color indexed="81"/>
            <rFont val="Tahoma"/>
            <family val="2"/>
          </rPr>
          <t>Paul H Davies:</t>
        </r>
        <r>
          <rPr>
            <sz val="9"/>
            <color indexed="81"/>
            <rFont val="Tahoma"/>
            <family val="2"/>
          </rPr>
          <t xml:space="preserve">
http://www.nuvisionenergy.co.uk/NuVision-PV/inverters/solaredge-hd-wave-4000-inverter-925986004
</t>
        </r>
      </text>
    </comment>
    <comment ref="AR20" authorId="0" shapeId="0" xr:uid="{D8D60B1F-D4D8-41CC-B9DC-60FE01D77B2E}">
      <text>
        <r>
          <rPr>
            <b/>
            <sz val="9"/>
            <color indexed="81"/>
            <rFont val="Tahoma"/>
            <family val="2"/>
          </rPr>
          <t>Paul H Davies:</t>
        </r>
        <r>
          <rPr>
            <sz val="9"/>
            <color indexed="81"/>
            <rFont val="Tahoma"/>
            <family val="2"/>
          </rPr>
          <t xml:space="preserve">
http://www.nuvisionenergy.co.uk/solaredge-p300-power-optimiser
</t>
        </r>
      </text>
    </comment>
    <comment ref="AR40" authorId="0" shapeId="0" xr:uid="{5B6C46DB-8AB0-464C-BC6D-FA076E42A816}">
      <text>
        <r>
          <rPr>
            <b/>
            <sz val="9"/>
            <color indexed="81"/>
            <rFont val="Tahoma"/>
            <family val="2"/>
          </rPr>
          <t>Paul H Davies:</t>
        </r>
        <r>
          <rPr>
            <sz val="9"/>
            <color indexed="81"/>
            <rFont val="Tahoma"/>
            <family val="2"/>
          </rPr>
          <t xml:space="preserve">
Installed and commissioned for 8 panels on garage 14:00 13/03/2019.
High winds prevented installation on House roof - which is still on SunnyBoy.
House roof optimisers installed and connected to SolarEdge Inverter 13:00 20/03/19. All panels cleaned and WiFi extender installed.</t>
        </r>
      </text>
    </comment>
    <comment ref="AS41" authorId="0" shapeId="0" xr:uid="{6096A5DB-46C0-45D5-B3BD-C99FB22793E8}">
      <text>
        <r>
          <rPr>
            <b/>
            <sz val="9"/>
            <color indexed="81"/>
            <rFont val="Tahoma"/>
            <family val="2"/>
          </rPr>
          <t>Paul H Davies:</t>
        </r>
        <r>
          <rPr>
            <sz val="9"/>
            <color indexed="81"/>
            <rFont val="Tahoma"/>
            <family val="2"/>
          </rPr>
          <t xml:space="preserve">
Removed approx 10:45 13/3/2019.</t>
        </r>
      </text>
    </comment>
    <comment ref="AS42" authorId="0" shapeId="0" xr:uid="{ACC4A822-32B9-4806-99B7-F8AA76DD3A7D}">
      <text>
        <r>
          <rPr>
            <b/>
            <sz val="9"/>
            <color indexed="81"/>
            <rFont val="Tahoma"/>
            <family val="2"/>
          </rPr>
          <t>Paul H Davies:</t>
        </r>
        <r>
          <rPr>
            <sz val="9"/>
            <color indexed="81"/>
            <rFont val="Tahoma"/>
            <family val="2"/>
          </rPr>
          <t xml:space="preserve">
Removed approx 09:30 21-Mar-2019</t>
        </r>
      </text>
    </comment>
  </commentList>
</comments>
</file>

<file path=xl/sharedStrings.xml><?xml version="1.0" encoding="utf-8"?>
<sst xmlns="http://schemas.openxmlformats.org/spreadsheetml/2006/main" count="210" uniqueCount="152">
  <si>
    <t>PLANNED OUTPUT FROM EvoEnergy Quote No 2 - 2,477 kW-Hr per annum</t>
  </si>
  <si>
    <t>Reading kWh</t>
  </si>
  <si>
    <t>Actual Month</t>
  </si>
  <si>
    <t>Plot Month</t>
  </si>
  <si>
    <t>MO</t>
  </si>
  <si>
    <t>YR</t>
  </si>
  <si>
    <t>Daily Gen
kWh</t>
  </si>
  <si>
    <t>Power Exported kWh/mnth</t>
  </si>
  <si>
    <t>Power Imported kWh/mnth</t>
  </si>
  <si>
    <t>Planned Orig</t>
  </si>
  <si>
    <t>Planned (+17.5%) 2019</t>
  </si>
  <si>
    <t>SunnyBoy Average</t>
  </si>
  <si>
    <t>SolarEdge Average</t>
  </si>
  <si>
    <t xml:space="preserve">PLANNED OUTPUT
</t>
  </si>
  <si>
    <t>ACTUAL OUTPUT
BASED ON READINGS
Previous 12 months</t>
  </si>
  <si>
    <t>UPGRADE OF INVERTERS &amp; OPTIMISERS</t>
  </si>
  <si>
    <t>DATES</t>
  </si>
  <si>
    <t>Module / Panel #</t>
  </si>
  <si>
    <t>Optimiser Serial #</t>
  </si>
  <si>
    <t>Manufacturer</t>
  </si>
  <si>
    <t>Model #</t>
  </si>
  <si>
    <t>Orientation</t>
  </si>
  <si>
    <t>Tilt</t>
  </si>
  <si>
    <t>Azimuth</t>
  </si>
  <si>
    <t>OLD</t>
  </si>
  <si>
    <t>NEW</t>
  </si>
  <si>
    <t>Days</t>
  </si>
  <si>
    <t>DAILY kWh</t>
  </si>
  <si>
    <t>Rate</t>
  </si>
  <si>
    <t>Amount</t>
  </si>
  <si>
    <t>Start of Contract</t>
  </si>
  <si>
    <t>Original Installation</t>
  </si>
  <si>
    <t>1.1.10</t>
  </si>
  <si>
    <t>11C3A011-85</t>
  </si>
  <si>
    <t>Sharp</t>
  </si>
  <si>
    <t>NU-E245(J5)</t>
  </si>
  <si>
    <t>HORIZONTAL</t>
  </si>
  <si>
    <t>End of Contract</t>
  </si>
  <si>
    <t>1.1.16</t>
  </si>
  <si>
    <t>11C5FDCC-9F</t>
  </si>
  <si>
    <t>Update Date</t>
  </si>
  <si>
    <t>1.1.13</t>
  </si>
  <si>
    <t>11C5ED34-F7</t>
  </si>
  <si>
    <t>Remaining Time (Y)</t>
  </si>
  <si>
    <t>Update Date - Garage</t>
  </si>
  <si>
    <t>1.1.11</t>
  </si>
  <si>
    <t>11C39D81-F2</t>
  </si>
  <si>
    <t>Avge Annual Income</t>
  </si>
  <si>
    <t>Update Date - House</t>
  </si>
  <si>
    <t>1.1.9</t>
  </si>
  <si>
    <t>11C6009D-74</t>
  </si>
  <si>
    <t>Assume 15% increase in performance</t>
  </si>
  <si>
    <t>1.1.15</t>
  </si>
  <si>
    <t>11C54123-3A</t>
  </si>
  <si>
    <t>1.1.12</t>
  </si>
  <si>
    <t>11C545E4-FF</t>
  </si>
  <si>
    <t>Amended Cost per Invoice of 23-Mar-19</t>
  </si>
  <si>
    <t>1.1.14</t>
  </si>
  <si>
    <t>11C5F836-04</t>
  </si>
  <si>
    <t>SolarEdge Daily Average</t>
  </si>
  <si>
    <t>SolarEdge Monthly Average</t>
  </si>
  <si>
    <t>Financial Benefit</t>
  </si>
  <si>
    <t>1.1.8</t>
  </si>
  <si>
    <t>11C25549-71</t>
  </si>
  <si>
    <t>VERTICAL</t>
  </si>
  <si>
    <t>1.1.4</t>
  </si>
  <si>
    <t>11C5EE4D-11</t>
  </si>
  <si>
    <t>MaxRow =</t>
  </si>
  <si>
    <t>1.1.6</t>
  </si>
  <si>
    <t>11C38E46-A8</t>
  </si>
  <si>
    <t>1.1.1</t>
  </si>
  <si>
    <t>11C25739-63</t>
  </si>
  <si>
    <t>ESTIMATE OF COSTS (Prices - CCL Components)</t>
  </si>
  <si>
    <t>1.1.5</t>
  </si>
  <si>
    <t>11C5FCAF-81</t>
  </si>
  <si>
    <t>Current Income</t>
  </si>
  <si>
    <t>DESCRIPTION</t>
  </si>
  <si>
    <t>MODEL</t>
  </si>
  <si>
    <t>QTY</t>
  </si>
  <si>
    <t>COST</t>
  </si>
  <si>
    <t>AMOUNT</t>
  </si>
  <si>
    <t>1.1.3</t>
  </si>
  <si>
    <t>11C3ABFF-7E</t>
  </si>
  <si>
    <t>Solar Edge Inverter</t>
  </si>
  <si>
    <t>SE3680H-RW000NNN2</t>
  </si>
  <si>
    <t>1.1.2</t>
  </si>
  <si>
    <t>11C5FE54-28</t>
  </si>
  <si>
    <t>RED = Estimated Values</t>
  </si>
  <si>
    <t>16 * Solar Edge Optimiser</t>
  </si>
  <si>
    <t>P300-5R M4M RS</t>
  </si>
  <si>
    <t>1.1.7</t>
  </si>
  <si>
    <t>11C5FC95-67</t>
  </si>
  <si>
    <t>ORIGINAL</t>
  </si>
  <si>
    <t>CURRENT - from</t>
  </si>
  <si>
    <t>1 Solar Edge WiFi Plug-in</t>
  </si>
  <si>
    <t>SE1000-WIFI01</t>
  </si>
  <si>
    <t>15 Staubli MC4 TwinPack -2*Male 2*Female Solar Coupler</t>
  </si>
  <si>
    <t>32.MC4-TWIN-PACK</t>
  </si>
  <si>
    <t>IMPROVEMENT DUE TO OPTIMISERS</t>
  </si>
  <si>
    <t>Generation</t>
  </si>
  <si>
    <t>Accessories etc</t>
  </si>
  <si>
    <t>Month</t>
  </si>
  <si>
    <t>Orig Plan</t>
  </si>
  <si>
    <t>New Plan</t>
  </si>
  <si>
    <t>Actual - Old</t>
  </si>
  <si>
    <t>Actual - New</t>
  </si>
  <si>
    <t>%AGE</t>
  </si>
  <si>
    <t>50% Export</t>
  </si>
  <si>
    <t>Scaffolding / Access</t>
  </si>
  <si>
    <t>Installation - 2 visits of 6 hrs</t>
  </si>
  <si>
    <t>Transport etc</t>
  </si>
  <si>
    <t>DIRECT COST</t>
  </si>
  <si>
    <t>ADD OH &amp; PROFIT</t>
  </si>
  <si>
    <t>NETT COST</t>
  </si>
  <si>
    <t>Add VAT @ 20%</t>
  </si>
  <si>
    <t>FIT Year</t>
  </si>
  <si>
    <t>TOTAL</t>
  </si>
  <si>
    <t>Year from:</t>
  </si>
  <si>
    <t>RPI Month</t>
  </si>
  <si>
    <t>Dec RPI Increase</t>
  </si>
  <si>
    <t>Cumul</t>
  </si>
  <si>
    <t>Actual Generation</t>
  </si>
  <si>
    <t>Actual Export</t>
  </si>
  <si>
    <t>RPI Index</t>
  </si>
  <si>
    <t>%incr</t>
  </si>
  <si>
    <t>%Cuml</t>
  </si>
  <si>
    <t>Calcd Price</t>
  </si>
  <si>
    <t>Price received</t>
  </si>
  <si>
    <t>DETAILS OF INVERTERS - PRODUCTION</t>
  </si>
  <si>
    <t>READING DATE</t>
  </si>
  <si>
    <t>ORIG</t>
  </si>
  <si>
    <t>READING</t>
  </si>
  <si>
    <t>DAILY RATE</t>
  </si>
  <si>
    <t>CHANGE</t>
  </si>
  <si>
    <t>Total Generated</t>
  </si>
  <si>
    <t>---</t>
  </si>
  <si>
    <t>3.86 Kw PV Installation</t>
  </si>
  <si>
    <t>Old SunnyBoy - Roof</t>
  </si>
  <si>
    <t>Commissioned 22-Apr 2011</t>
  </si>
  <si>
    <t>New SolarEdge - Garage</t>
  </si>
  <si>
    <t>Registered 10-May-2011</t>
  </si>
  <si>
    <t>Old SunnyBoy - Garage</t>
  </si>
  <si>
    <t>Retro-fit</t>
  </si>
  <si>
    <t>Combined OLD SunnyBoy</t>
  </si>
  <si>
    <t>----</t>
  </si>
  <si>
    <t>https://www.ofgem.gov.uk/publications-and-updates/feed-tariff-fit-tariff-table-1-april-2019</t>
  </si>
  <si>
    <t>Combined NEW SolarEdge</t>
  </si>
  <si>
    <t>https://www.ofgem.gov.uk/publications-and-updates/feed-tariff-fit-tariff-table-1-april-2020</t>
  </si>
  <si>
    <t>https://www.ofgem.gov.uk/publications-and-updates/feed-tariff-fit-tariff-table-1-april-2021</t>
  </si>
  <si>
    <t>https://www.ofgem.gov.uk/publications/feed-tariff-fit-tariff-table-1-april-2022</t>
  </si>
  <si>
    <t>https://www.ofgem.gov.uk/publications/feed-tariff-fit-tariff-table-1-april-2023</t>
  </si>
  <si>
    <t>https://www.ofgem.gov.uk/publications/feed-tariff-fit-tariff-table-1-april-2024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</si>
</sst>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"/>
    <numFmt numFmtId="165" formatCode="mmmm"/>
    <numFmt numFmtId="166" formatCode="&quot;£&quot;#,##0.00"/>
    <numFmt numFmtId="167" formatCode="#,##0.00_ ;[Red]\-#,##0.00\ "/>
    <numFmt numFmtId="168" formatCode="0.00_ ;[Red]\-0.00\ "/>
    <numFmt numFmtId="169" formatCode="0.0"/>
    <numFmt numFmtId="170" formatCode="_-* #,##0.0_-;\-* #,##0.0_-;_-* &quot;-&quot;??_-;_-@_-"/>
    <numFmt numFmtId="171" formatCode="#,##0.00%;[Red]\-#,##0.0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vertical="center"/>
    </xf>
    <xf numFmtId="2" fontId="0" fillId="4" borderId="0" xfId="0" applyNumberFormat="1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0" fillId="0" borderId="10" xfId="0" applyBorder="1" applyAlignment="1">
      <alignment vertical="center"/>
    </xf>
    <xf numFmtId="4" fontId="0" fillId="0" borderId="11" xfId="0" applyNumberFormat="1" applyBorder="1" applyAlignment="1">
      <alignment horizontal="right" vertical="center"/>
    </xf>
    <xf numFmtId="3" fontId="0" fillId="0" borderId="11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13" xfId="0" applyBorder="1" applyAlignment="1">
      <alignment vertical="center"/>
    </xf>
    <xf numFmtId="4" fontId="0" fillId="0" borderId="14" xfId="0" applyNumberFormat="1" applyBorder="1" applyAlignment="1">
      <alignment horizontal="right" vertical="center"/>
    </xf>
    <xf numFmtId="3" fontId="0" fillId="0" borderId="14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166" fontId="0" fillId="0" borderId="15" xfId="0" applyNumberFormat="1" applyBorder="1" applyAlignment="1">
      <alignment vertical="center"/>
    </xf>
    <xf numFmtId="2" fontId="0" fillId="0" borderId="0" xfId="0" applyNumberFormat="1" applyAlignment="1">
      <alignment horizontal="left" vertical="center" wrapText="1"/>
    </xf>
    <xf numFmtId="164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vertical="center"/>
    </xf>
    <xf numFmtId="8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0" fillId="5" borderId="19" xfId="0" applyNumberFormat="1" applyFill="1" applyBorder="1" applyAlignment="1">
      <alignment horizontal="center" vertical="center"/>
    </xf>
    <xf numFmtId="2" fontId="0" fillId="4" borderId="20" xfId="0" applyNumberForma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7" xfId="0" applyNumberFormat="1" applyBorder="1" applyAlignment="1">
      <alignment horizontal="right" vertical="center"/>
    </xf>
    <xf numFmtId="3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4" fontId="0" fillId="5" borderId="13" xfId="0" applyNumberFormat="1" applyFill="1" applyBorder="1" applyAlignment="1">
      <alignment horizontal="center" vertical="center"/>
    </xf>
    <xf numFmtId="4" fontId="0" fillId="5" borderId="14" xfId="0" applyNumberFormat="1" applyFill="1" applyBorder="1" applyAlignment="1">
      <alignment horizontal="center" vertical="center"/>
    </xf>
    <xf numFmtId="4" fontId="0" fillId="5" borderId="21" xfId="0" applyNumberFormat="1" applyFill="1" applyBorder="1" applyAlignment="1">
      <alignment horizontal="center" vertical="center"/>
    </xf>
    <xf numFmtId="2" fontId="0" fillId="4" borderId="22" xfId="0" applyNumberForma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3" borderId="0" xfId="0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8" fontId="0" fillId="0" borderId="24" xfId="0" applyNumberForma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44" fontId="0" fillId="0" borderId="11" xfId="2" applyFont="1" applyBorder="1" applyAlignment="1">
      <alignment vertical="center"/>
    </xf>
    <xf numFmtId="44" fontId="0" fillId="0" borderId="12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4" xfId="0" applyBorder="1" applyAlignment="1">
      <alignment vertical="center" wrapText="1"/>
    </xf>
    <xf numFmtId="44" fontId="0" fillId="0" borderId="14" xfId="2" applyFont="1" applyBorder="1" applyAlignment="1">
      <alignment vertical="center"/>
    </xf>
    <xf numFmtId="44" fontId="0" fillId="0" borderId="15" xfId="2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5" fontId="3" fillId="0" borderId="0" xfId="0" applyNumberFormat="1" applyFont="1" applyAlignment="1">
      <alignment horizontal="center" vertical="center"/>
    </xf>
    <xf numFmtId="15" fontId="3" fillId="0" borderId="24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168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0" fillId="5" borderId="27" xfId="0" applyNumberFormat="1" applyFill="1" applyBorder="1" applyAlignment="1">
      <alignment horizontal="center" vertical="center"/>
    </xf>
    <xf numFmtId="4" fontId="0" fillId="5" borderId="10" xfId="0" applyNumberFormat="1" applyFill="1" applyBorder="1" applyAlignment="1">
      <alignment horizontal="center" vertical="center"/>
    </xf>
    <xf numFmtId="4" fontId="0" fillId="5" borderId="11" xfId="0" applyNumberFormat="1" applyFill="1" applyBorder="1" applyAlignment="1">
      <alignment horizontal="center" vertical="center"/>
    </xf>
    <xf numFmtId="4" fontId="0" fillId="5" borderId="28" xfId="0" applyNumberFormat="1" applyFill="1" applyBorder="1" applyAlignment="1">
      <alignment horizontal="center" vertical="center"/>
    </xf>
    <xf numFmtId="2" fontId="0" fillId="4" borderId="29" xfId="0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64" fontId="0" fillId="5" borderId="22" xfId="0" applyNumberFormat="1" applyFill="1" applyBorder="1" applyAlignment="1">
      <alignment horizontal="center" vertical="center"/>
    </xf>
    <xf numFmtId="2" fontId="0" fillId="4" borderId="30" xfId="0" applyNumberForma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169" fontId="0" fillId="0" borderId="14" xfId="0" applyNumberFormat="1" applyBorder="1" applyAlignment="1">
      <alignment vertical="center"/>
    </xf>
    <xf numFmtId="10" fontId="0" fillId="0" borderId="15" xfId="3" applyNumberFormat="1" applyFont="1" applyBorder="1" applyAlignment="1">
      <alignment vertical="center"/>
    </xf>
    <xf numFmtId="4" fontId="0" fillId="5" borderId="16" xfId="0" applyNumberFormat="1" applyFill="1" applyBorder="1" applyAlignment="1">
      <alignment horizontal="center" vertical="center"/>
    </xf>
    <xf numFmtId="4" fontId="0" fillId="5" borderId="17" xfId="0" applyNumberFormat="1" applyFill="1" applyBorder="1" applyAlignment="1">
      <alignment horizontal="center" vertical="center"/>
    </xf>
    <xf numFmtId="2" fontId="0" fillId="5" borderId="31" xfId="0" applyNumberFormat="1" applyFill="1" applyBorder="1" applyAlignment="1">
      <alignment horizontal="center" vertical="center"/>
    </xf>
    <xf numFmtId="2" fontId="0" fillId="4" borderId="32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44" fontId="0" fillId="0" borderId="15" xfId="0" applyNumberFormat="1" applyBorder="1" applyAlignment="1">
      <alignment vertical="center"/>
    </xf>
    <xf numFmtId="9" fontId="0" fillId="0" borderId="14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44" fontId="3" fillId="0" borderId="6" xfId="0" applyNumberFormat="1" applyFont="1" applyBorder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15" fontId="0" fillId="0" borderId="0" xfId="0" applyNumberForma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0" fillId="4" borderId="0" xfId="0" applyFill="1" applyAlignment="1">
      <alignment vertical="center"/>
    </xf>
    <xf numFmtId="169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164" fontId="0" fillId="5" borderId="32" xfId="0" applyNumberFormat="1" applyFill="1" applyBorder="1" applyAlignment="1">
      <alignment horizontal="center" vertical="center"/>
    </xf>
    <xf numFmtId="2" fontId="0" fillId="4" borderId="36" xfId="0" applyNumberFormat="1" applyFill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169" fontId="0" fillId="0" borderId="4" xfId="0" applyNumberFormat="1" applyBorder="1" applyAlignment="1">
      <alignment vertical="center"/>
    </xf>
    <xf numFmtId="169" fontId="0" fillId="0" borderId="5" xfId="0" applyNumberFormat="1" applyBorder="1" applyAlignment="1">
      <alignment vertical="center"/>
    </xf>
    <xf numFmtId="10" fontId="0" fillId="0" borderId="6" xfId="3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4" fontId="0" fillId="6" borderId="8" xfId="0" applyNumberFormat="1" applyFill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70" fontId="0" fillId="6" borderId="8" xfId="1" applyNumberFormat="1" applyFont="1" applyFill="1" applyBorder="1" applyAlignment="1">
      <alignment vertical="center"/>
    </xf>
    <xf numFmtId="43" fontId="0" fillId="0" borderId="8" xfId="1" applyFont="1" applyBorder="1" applyAlignment="1">
      <alignment vertical="center"/>
    </xf>
    <xf numFmtId="43" fontId="0" fillId="0" borderId="9" xfId="1" applyFont="1" applyBorder="1" applyAlignment="1">
      <alignment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170" fontId="0" fillId="0" borderId="14" xfId="1" applyNumberFormat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5" xfId="1" applyFont="1" applyBorder="1" applyAlignment="1">
      <alignment vertical="center"/>
    </xf>
    <xf numFmtId="171" fontId="0" fillId="0" borderId="15" xfId="3" applyNumberFormat="1" applyFont="1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170" fontId="0" fillId="0" borderId="14" xfId="0" applyNumberFormat="1" applyBorder="1" applyAlignment="1">
      <alignment vertical="center"/>
    </xf>
    <xf numFmtId="43" fontId="0" fillId="0" borderId="14" xfId="0" applyNumberFormat="1" applyBorder="1" applyAlignment="1">
      <alignment vertical="center"/>
    </xf>
    <xf numFmtId="10" fontId="0" fillId="0" borderId="0" xfId="3" applyNumberFormat="1" applyFont="1" applyAlignment="1">
      <alignment vertical="center"/>
    </xf>
    <xf numFmtId="2" fontId="4" fillId="0" borderId="0" xfId="4" applyNumberFormat="1" applyAlignment="1">
      <alignment vertical="center"/>
    </xf>
    <xf numFmtId="14" fontId="0" fillId="0" borderId="17" xfId="0" applyNumberFormat="1" applyBorder="1" applyAlignment="1">
      <alignment horizontal="center" vertical="center"/>
    </xf>
    <xf numFmtId="170" fontId="0" fillId="0" borderId="17" xfId="0" applyNumberFormat="1" applyBorder="1" applyAlignment="1">
      <alignment vertical="center"/>
    </xf>
    <xf numFmtId="170" fontId="0" fillId="0" borderId="17" xfId="0" applyNumberFormat="1" applyBorder="1" applyAlignment="1">
      <alignment horizontal="center" vertical="center"/>
    </xf>
    <xf numFmtId="43" fontId="0" fillId="0" borderId="17" xfId="0" applyNumberFormat="1" applyBorder="1" applyAlignment="1">
      <alignment vertical="center"/>
    </xf>
    <xf numFmtId="171" fontId="0" fillId="0" borderId="18" xfId="3" applyNumberFormat="1" applyFont="1" applyBorder="1" applyAlignment="1">
      <alignment vertical="center"/>
    </xf>
    <xf numFmtId="2" fontId="0" fillId="6" borderId="24" xfId="0" applyNumberFormat="1" applyFill="1" applyBorder="1" applyAlignment="1">
      <alignment vertical="center"/>
    </xf>
    <xf numFmtId="0" fontId="4" fillId="0" borderId="0" xfId="4" applyAlignment="1">
      <alignment vertical="center"/>
    </xf>
    <xf numFmtId="43" fontId="0" fillId="0" borderId="0" xfId="0" applyNumberFormat="1" applyAlignment="1">
      <alignment vertical="center"/>
    </xf>
    <xf numFmtId="164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45 Furlong Way, SG12 9TE
Planned and Actual Generation per Annum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910765436539032E-2"/>
          <c:y val="0.15426347303816687"/>
          <c:w val="0.75308028584518294"/>
          <c:h val="0.80768643919510064"/>
        </c:manualLayout>
      </c:layout>
      <c:lineChart>
        <c:grouping val="standard"/>
        <c:varyColors val="0"/>
        <c:ser>
          <c:idx val="1"/>
          <c:order val="0"/>
          <c:tx>
            <c:v>Orig Planned</c:v>
          </c:tx>
          <c:spPr>
            <a:ln w="4445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[1]Generation!$J$16:$J$27</c:f>
              <c:numCache>
                <c:formatCode>#,##0.00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9.5</c:v>
                </c:pt>
                <c:pt idx="5">
                  <c:v>10.5</c:v>
                </c:pt>
                <c:pt idx="6">
                  <c:v>10.5</c:v>
                </c:pt>
                <c:pt idx="7">
                  <c:v>9.5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0E-4B06-838A-52F0F04EB24F}"/>
            </c:ext>
          </c:extLst>
        </c:ser>
        <c:ser>
          <c:idx val="11"/>
          <c:order val="1"/>
          <c:tx>
            <c:v>SunnyBoy Average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[1]Generation!$L$16:$L$27</c:f>
              <c:numCache>
                <c:formatCode>#,##0.00</c:formatCode>
                <c:ptCount val="12"/>
                <c:pt idx="0">
                  <c:v>2.757056451612903</c:v>
                </c:pt>
                <c:pt idx="1">
                  <c:v>5.2832512315270934</c:v>
                </c:pt>
                <c:pt idx="2">
                  <c:v>7.4147465437788016</c:v>
                </c:pt>
                <c:pt idx="3">
                  <c:v>9.7658333333333331</c:v>
                </c:pt>
                <c:pt idx="4">
                  <c:v>9.7321650124069468</c:v>
                </c:pt>
                <c:pt idx="5">
                  <c:v>9.0458333333333343</c:v>
                </c:pt>
                <c:pt idx="6">
                  <c:v>8.628856942496494</c:v>
                </c:pt>
                <c:pt idx="7">
                  <c:v>8.1752352150537622</c:v>
                </c:pt>
                <c:pt idx="8">
                  <c:v>7.3624999999999998</c:v>
                </c:pt>
                <c:pt idx="9">
                  <c:v>5.3467741935483879</c:v>
                </c:pt>
                <c:pt idx="10">
                  <c:v>3.2166666666666668</c:v>
                </c:pt>
                <c:pt idx="11" formatCode="0.00">
                  <c:v>2.350806451612903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0E-4B06-838A-52F0F04EB24F}"/>
            </c:ext>
          </c:extLst>
        </c:ser>
        <c:ser>
          <c:idx val="10"/>
          <c:order val="2"/>
          <c:tx>
            <c:v>2019 Planned</c:v>
          </c:tx>
          <c:spPr>
            <a:ln w="508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[1]Generation!$K$16:$K$27</c:f>
              <c:numCache>
                <c:formatCode>#,##0.00</c:formatCode>
                <c:ptCount val="12"/>
                <c:pt idx="0">
                  <c:v>3.5250000000000004</c:v>
                </c:pt>
                <c:pt idx="1">
                  <c:v>4.7</c:v>
                </c:pt>
                <c:pt idx="2">
                  <c:v>7.0500000000000007</c:v>
                </c:pt>
                <c:pt idx="3">
                  <c:v>9.4</c:v>
                </c:pt>
                <c:pt idx="4">
                  <c:v>11.1625</c:v>
                </c:pt>
                <c:pt idx="5">
                  <c:v>12.3375</c:v>
                </c:pt>
                <c:pt idx="6">
                  <c:v>12.3375</c:v>
                </c:pt>
                <c:pt idx="7">
                  <c:v>11.1625</c:v>
                </c:pt>
                <c:pt idx="8">
                  <c:v>9.4</c:v>
                </c:pt>
                <c:pt idx="9">
                  <c:v>7.0500000000000007</c:v>
                </c:pt>
                <c:pt idx="10">
                  <c:v>4.7</c:v>
                </c:pt>
                <c:pt idx="11">
                  <c:v>3.5250000000000004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0E-4B06-838A-52F0F04EB24F}"/>
            </c:ext>
          </c:extLst>
        </c:ser>
        <c:ser>
          <c:idx val="12"/>
          <c:order val="3"/>
          <c:tx>
            <c:strRef>
              <c:f>[1]Generation!$M$12</c:f>
              <c:strCache>
                <c:ptCount val="1"/>
                <c:pt idx="0">
                  <c:v>SolarEdge Daily Average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[1]Generation!$M$16:$M$27</c:f>
              <c:numCache>
                <c:formatCode>0.00</c:formatCode>
                <c:ptCount val="12"/>
                <c:pt idx="0">
                  <c:v>3.4774193548387098</c:v>
                </c:pt>
                <c:pt idx="1">
                  <c:v>5.3738916256157641</c:v>
                </c:pt>
                <c:pt idx="2">
                  <c:v>8.2473118279569899</c:v>
                </c:pt>
                <c:pt idx="3">
                  <c:v>12.322222222222223</c:v>
                </c:pt>
                <c:pt idx="4">
                  <c:v>12.553763440860216</c:v>
                </c:pt>
                <c:pt idx="5">
                  <c:v>12.046666666666667</c:v>
                </c:pt>
                <c:pt idx="6">
                  <c:v>11.193548387096774</c:v>
                </c:pt>
                <c:pt idx="7">
                  <c:v>10.845161290322581</c:v>
                </c:pt>
                <c:pt idx="8">
                  <c:v>9.6466666666666665</c:v>
                </c:pt>
                <c:pt idx="9">
                  <c:v>6.2</c:v>
                </c:pt>
                <c:pt idx="10">
                  <c:v>3.7599999999999993</c:v>
                </c:pt>
                <c:pt idx="11">
                  <c:v>2.3741935483870966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C0E-4B06-838A-52F0F04EB24F}"/>
            </c:ext>
          </c:extLst>
        </c:ser>
        <c:ser>
          <c:idx val="0"/>
          <c:order val="4"/>
          <c:tx>
            <c:v>Actual 2011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[1]Generation!$G$4:$G$15</c:f>
              <c:numCache>
                <c:formatCode>#,##0.00</c:formatCode>
                <c:ptCount val="12"/>
                <c:pt idx="0">
                  <c:v>2.76</c:v>
                </c:pt>
                <c:pt idx="1">
                  <c:v>5.28</c:v>
                </c:pt>
                <c:pt idx="2">
                  <c:v>6.65</c:v>
                </c:pt>
                <c:pt idx="3">
                  <c:v>10.26</c:v>
                </c:pt>
                <c:pt idx="4">
                  <c:v>11.115384615384615</c:v>
                </c:pt>
                <c:pt idx="5">
                  <c:v>10</c:v>
                </c:pt>
                <c:pt idx="6">
                  <c:v>9.8695652173913047</c:v>
                </c:pt>
                <c:pt idx="7">
                  <c:v>8.2083333333333339</c:v>
                </c:pt>
                <c:pt idx="8">
                  <c:v>9.1333333333333329</c:v>
                </c:pt>
                <c:pt idx="9">
                  <c:v>7.419354838709677</c:v>
                </c:pt>
                <c:pt idx="10">
                  <c:v>3.0333333333333332</c:v>
                </c:pt>
                <c:pt idx="11">
                  <c:v>2.838709677419355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E-4B06-838A-52F0F04EB24F}"/>
            </c:ext>
          </c:extLst>
        </c:ser>
        <c:ser>
          <c:idx val="2"/>
          <c:order val="5"/>
          <c:tx>
            <c:v>Actual 2012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[1]Generation!$G$16:$G$27</c:f>
              <c:numCache>
                <c:formatCode>#,##0.00</c:formatCode>
                <c:ptCount val="12"/>
                <c:pt idx="0">
                  <c:v>2.25</c:v>
                </c:pt>
                <c:pt idx="1">
                  <c:v>7.1428571428571432</c:v>
                </c:pt>
                <c:pt idx="2">
                  <c:v>9.258064516129032</c:v>
                </c:pt>
                <c:pt idx="3">
                  <c:v>9.6</c:v>
                </c:pt>
                <c:pt idx="4">
                  <c:v>9.67741935483871</c:v>
                </c:pt>
                <c:pt idx="5">
                  <c:v>8.8333333333333339</c:v>
                </c:pt>
                <c:pt idx="6">
                  <c:v>8.935483870967742</c:v>
                </c:pt>
                <c:pt idx="7">
                  <c:v>9.064516129032258</c:v>
                </c:pt>
                <c:pt idx="8">
                  <c:v>8.9</c:v>
                </c:pt>
                <c:pt idx="9">
                  <c:v>5.967741935483871</c:v>
                </c:pt>
                <c:pt idx="10">
                  <c:v>3.4666666666666668</c:v>
                </c:pt>
                <c:pt idx="11">
                  <c:v>2.3548387096774195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0E-4B06-838A-52F0F04EB24F}"/>
            </c:ext>
          </c:extLst>
        </c:ser>
        <c:ser>
          <c:idx val="3"/>
          <c:order val="6"/>
          <c:tx>
            <c:v>Actual 2013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[1]Generation!$G$28:$G$39</c:f>
              <c:numCache>
                <c:formatCode>#,##0.00</c:formatCode>
                <c:ptCount val="12"/>
                <c:pt idx="0">
                  <c:v>2</c:v>
                </c:pt>
                <c:pt idx="1">
                  <c:v>4.4285714285714288</c:v>
                </c:pt>
                <c:pt idx="2">
                  <c:v>4.774193548387097</c:v>
                </c:pt>
                <c:pt idx="3">
                  <c:v>10.833333333333334</c:v>
                </c:pt>
                <c:pt idx="4">
                  <c:v>9.32258064516129</c:v>
                </c:pt>
                <c:pt idx="5">
                  <c:v>9.2333333333333325</c:v>
                </c:pt>
                <c:pt idx="6">
                  <c:v>10.419354838709678</c:v>
                </c:pt>
                <c:pt idx="7">
                  <c:v>10.35483870967742</c:v>
                </c:pt>
                <c:pt idx="8">
                  <c:v>5.9333333333333336</c:v>
                </c:pt>
                <c:pt idx="9">
                  <c:v>4.387096774193548</c:v>
                </c:pt>
                <c:pt idx="10">
                  <c:v>3.4</c:v>
                </c:pt>
                <c:pt idx="11">
                  <c:v>2.129032258064516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0E-4B06-838A-52F0F04EB24F}"/>
            </c:ext>
          </c:extLst>
        </c:ser>
        <c:ser>
          <c:idx val="4"/>
          <c:order val="7"/>
          <c:tx>
            <c:v>Actual 2014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[1]Generation!$G$40:$G$51</c:f>
              <c:numCache>
                <c:formatCode>#,##0.00</c:formatCode>
                <c:ptCount val="12"/>
                <c:pt idx="0">
                  <c:v>3.032258064516129</c:v>
                </c:pt>
                <c:pt idx="1">
                  <c:v>5.25</c:v>
                </c:pt>
                <c:pt idx="2">
                  <c:v>9.32258064516129</c:v>
                </c:pt>
                <c:pt idx="3">
                  <c:v>9.1666666666666661</c:v>
                </c:pt>
                <c:pt idx="4">
                  <c:v>9.387096774193548</c:v>
                </c:pt>
                <c:pt idx="5">
                  <c:v>9.8666666666666671</c:v>
                </c:pt>
                <c:pt idx="6">
                  <c:v>8.387096774193548</c:v>
                </c:pt>
                <c:pt idx="7">
                  <c:v>8.4516129032258061</c:v>
                </c:pt>
                <c:pt idx="8">
                  <c:v>6.333333333333333</c:v>
                </c:pt>
                <c:pt idx="9">
                  <c:v>4.193548387096774</c:v>
                </c:pt>
                <c:pt idx="10">
                  <c:v>2.3333333333333335</c:v>
                </c:pt>
                <c:pt idx="11">
                  <c:v>2.870967741935484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0E-4B06-838A-52F0F04EB24F}"/>
            </c:ext>
          </c:extLst>
        </c:ser>
        <c:ser>
          <c:idx val="5"/>
          <c:order val="8"/>
          <c:tx>
            <c:v>Actual 2015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[1]Generation!$G$52:$G$63</c:f>
              <c:numCache>
                <c:formatCode>#,##0.00</c:formatCode>
                <c:ptCount val="12"/>
                <c:pt idx="0">
                  <c:v>3.3225806451612905</c:v>
                </c:pt>
                <c:pt idx="1">
                  <c:v>4.5357142857142856</c:v>
                </c:pt>
                <c:pt idx="2">
                  <c:v>8.258064516129032</c:v>
                </c:pt>
                <c:pt idx="3">
                  <c:v>11.133333333333333</c:v>
                </c:pt>
                <c:pt idx="4">
                  <c:v>10.193548387096774</c:v>
                </c:pt>
                <c:pt idx="5">
                  <c:v>8.9</c:v>
                </c:pt>
                <c:pt idx="6">
                  <c:v>7.870967741935484</c:v>
                </c:pt>
                <c:pt idx="7">
                  <c:v>6.096774193548387</c:v>
                </c:pt>
                <c:pt idx="8">
                  <c:v>7.7666666666666666</c:v>
                </c:pt>
                <c:pt idx="9">
                  <c:v>4.612903225806452</c:v>
                </c:pt>
                <c:pt idx="10">
                  <c:v>1.9333333333333333</c:v>
                </c:pt>
                <c:pt idx="11">
                  <c:v>1.5161290322580645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0E-4B06-838A-52F0F04EB24F}"/>
            </c:ext>
          </c:extLst>
        </c:ser>
        <c:ser>
          <c:idx val="6"/>
          <c:order val="9"/>
          <c:tx>
            <c:v>Actual 2016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[1]Generation!$G$64:$G$75</c:f>
              <c:numCache>
                <c:formatCode>#,##0.00</c:formatCode>
                <c:ptCount val="12"/>
                <c:pt idx="0">
                  <c:v>2.4838709677419355</c:v>
                </c:pt>
                <c:pt idx="1">
                  <c:v>4.5517241379310347</c:v>
                </c:pt>
                <c:pt idx="2">
                  <c:v>7.129032258064516</c:v>
                </c:pt>
                <c:pt idx="3">
                  <c:v>9.3000000000000007</c:v>
                </c:pt>
                <c:pt idx="4">
                  <c:v>9.3548387096774199</c:v>
                </c:pt>
                <c:pt idx="5">
                  <c:v>6.7666666666666666</c:v>
                </c:pt>
                <c:pt idx="6">
                  <c:v>7.193548387096774</c:v>
                </c:pt>
                <c:pt idx="7">
                  <c:v>8.129032258064516</c:v>
                </c:pt>
                <c:pt idx="8">
                  <c:v>5.6</c:v>
                </c:pt>
                <c:pt idx="9">
                  <c:v>4.5483870967741939</c:v>
                </c:pt>
                <c:pt idx="10">
                  <c:v>3.9333333333333331</c:v>
                </c:pt>
                <c:pt idx="11">
                  <c:v>2.6129032258064515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0E-4B06-838A-52F0F04EB24F}"/>
            </c:ext>
          </c:extLst>
        </c:ser>
        <c:ser>
          <c:idx val="7"/>
          <c:order val="10"/>
          <c:tx>
            <c:v>Actual 2017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[1]Generation!$G$76:$G$87</c:f>
              <c:numCache>
                <c:formatCode>#,##0.00</c:formatCode>
                <c:ptCount val="12"/>
                <c:pt idx="0">
                  <c:v>3.2580645161290325</c:v>
                </c:pt>
                <c:pt idx="1">
                  <c:v>3.6785714285714284</c:v>
                </c:pt>
                <c:pt idx="2">
                  <c:v>7.903225806451613</c:v>
                </c:pt>
                <c:pt idx="3">
                  <c:v>10.333333333333334</c:v>
                </c:pt>
                <c:pt idx="4">
                  <c:v>8.612903225806452</c:v>
                </c:pt>
                <c:pt idx="5">
                  <c:v>9.2666666666666675</c:v>
                </c:pt>
                <c:pt idx="6">
                  <c:v>8.0967741935483879</c:v>
                </c:pt>
                <c:pt idx="7">
                  <c:v>8</c:v>
                </c:pt>
                <c:pt idx="8">
                  <c:v>6.3666666666666663</c:v>
                </c:pt>
                <c:pt idx="9">
                  <c:v>4.67741935483871</c:v>
                </c:pt>
                <c:pt idx="10">
                  <c:v>4.166666666666667</c:v>
                </c:pt>
                <c:pt idx="11">
                  <c:v>2.3225806451612905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0E-4B06-838A-52F0F04EB24F}"/>
            </c:ext>
          </c:extLst>
        </c:ser>
        <c:ser>
          <c:idx val="8"/>
          <c:order val="11"/>
          <c:tx>
            <c:v>Actual 2018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[1]Generation!$G$88</c:f>
              <c:numCache>
                <c:formatCode>#,##0.00</c:formatCode>
                <c:ptCount val="1"/>
                <c:pt idx="0">
                  <c:v>2.6451612903225805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0E-4B06-838A-52F0F04EB24F}"/>
            </c:ext>
          </c:extLst>
        </c:ser>
        <c:ser>
          <c:idx val="9"/>
          <c:order val="12"/>
          <c:tx>
            <c:v>Actual 2019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[1]Generation!$G$100:$G$111</c:f>
              <c:numCache>
                <c:formatCode>#,##0.00</c:formatCode>
                <c:ptCount val="12"/>
                <c:pt idx="0">
                  <c:v>3.064516129032258</c:v>
                </c:pt>
                <c:pt idx="1">
                  <c:v>6.7857142857142856</c:v>
                </c:pt>
                <c:pt idx="2" formatCode="0.00">
                  <c:v>7.935483870967742</c:v>
                </c:pt>
                <c:pt idx="3" formatCode="0.00">
                  <c:v>11.8</c:v>
                </c:pt>
                <c:pt idx="4" formatCode="0.00">
                  <c:v>12.193548387096774</c:v>
                </c:pt>
                <c:pt idx="5" formatCode="0.00">
                  <c:v>10.433333333333334</c:v>
                </c:pt>
                <c:pt idx="6" formatCode="0.00">
                  <c:v>10.709677419354838</c:v>
                </c:pt>
                <c:pt idx="7" formatCode="0.00">
                  <c:v>11.774193548387096</c:v>
                </c:pt>
                <c:pt idx="8" formatCode="0.00">
                  <c:v>10.633333333333333</c:v>
                </c:pt>
                <c:pt idx="9" formatCode="0.00">
                  <c:v>5.387096774193548</c:v>
                </c:pt>
                <c:pt idx="10" formatCode="0.00">
                  <c:v>3.3</c:v>
                </c:pt>
                <c:pt idx="11" formatCode="0.00">
                  <c:v>3.5806451612903225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0E-4B06-838A-52F0F04EB24F}"/>
            </c:ext>
          </c:extLst>
        </c:ser>
        <c:ser>
          <c:idx val="13"/>
          <c:order val="13"/>
          <c:tx>
            <c:v>Actual 2020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[1]Generation!$G$112:$G$123</c:f>
              <c:numCache>
                <c:formatCode>0.00</c:formatCode>
                <c:ptCount val="12"/>
                <c:pt idx="0">
                  <c:v>3.3225806451612905</c:v>
                </c:pt>
                <c:pt idx="1">
                  <c:v>5.5172413793103452</c:v>
                </c:pt>
                <c:pt idx="2">
                  <c:v>10.709677419354838</c:v>
                </c:pt>
                <c:pt idx="3">
                  <c:v>15.366666666666667</c:v>
                </c:pt>
                <c:pt idx="4">
                  <c:v>16.516129032258064</c:v>
                </c:pt>
                <c:pt idx="5">
                  <c:v>12.733333333333333</c:v>
                </c:pt>
                <c:pt idx="6">
                  <c:v>11.838709677419354</c:v>
                </c:pt>
                <c:pt idx="7">
                  <c:v>10.741935483870968</c:v>
                </c:pt>
                <c:pt idx="8">
                  <c:v>10.5</c:v>
                </c:pt>
                <c:pt idx="9">
                  <c:v>4.741935483870968</c:v>
                </c:pt>
                <c:pt idx="10">
                  <c:v>3.6</c:v>
                </c:pt>
                <c:pt idx="11">
                  <c:v>2.4193548387096775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0E-4B06-838A-52F0F04EB24F}"/>
            </c:ext>
          </c:extLst>
        </c:ser>
        <c:ser>
          <c:idx val="14"/>
          <c:order val="14"/>
          <c:tx>
            <c:v>Actual 2021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[1]Generation!$G$124:$G$135</c:f>
              <c:numCache>
                <c:formatCode>0.00</c:formatCode>
                <c:ptCount val="12"/>
                <c:pt idx="0">
                  <c:v>2.5483870967741935</c:v>
                </c:pt>
                <c:pt idx="1">
                  <c:v>5.1428571428571432</c:v>
                </c:pt>
                <c:pt idx="2">
                  <c:v>8.193548387096774</c:v>
                </c:pt>
                <c:pt idx="3">
                  <c:v>13.666666666666666</c:v>
                </c:pt>
                <c:pt idx="4">
                  <c:v>11.451612903225806</c:v>
                </c:pt>
                <c:pt idx="5">
                  <c:v>11.633333333333333</c:v>
                </c:pt>
                <c:pt idx="6">
                  <c:v>11.161290322580646</c:v>
                </c:pt>
                <c:pt idx="7">
                  <c:v>9.7096774193548381</c:v>
                </c:pt>
                <c:pt idx="8">
                  <c:v>9.3000000000000007</c:v>
                </c:pt>
                <c:pt idx="9">
                  <c:v>6.612903225806452</c:v>
                </c:pt>
                <c:pt idx="10">
                  <c:v>4.3</c:v>
                </c:pt>
                <c:pt idx="11">
                  <c:v>1.5161290322580645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0E-4B06-838A-52F0F04EB24F}"/>
            </c:ext>
          </c:extLst>
        </c:ser>
        <c:ser>
          <c:idx val="15"/>
          <c:order val="15"/>
          <c:tx>
            <c:v>Actual 2022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[1]Generation!$G$136:$G$147</c:f>
              <c:numCache>
                <c:formatCode>0.00</c:formatCode>
                <c:ptCount val="12"/>
                <c:pt idx="0">
                  <c:v>4.032258064516129</c:v>
                </c:pt>
                <c:pt idx="1">
                  <c:v>5.8571428571428568</c:v>
                </c:pt>
                <c:pt idx="2">
                  <c:v>10</c:v>
                </c:pt>
                <c:pt idx="3">
                  <c:v>12.066666666666666</c:v>
                </c:pt>
                <c:pt idx="4">
                  <c:v>12.35483870967742</c:v>
                </c:pt>
                <c:pt idx="5">
                  <c:v>12.633333333333333</c:v>
                </c:pt>
                <c:pt idx="6">
                  <c:v>12.741935483870968</c:v>
                </c:pt>
                <c:pt idx="7">
                  <c:v>11.838709677419354</c:v>
                </c:pt>
                <c:pt idx="8">
                  <c:v>8.7333333333333325</c:v>
                </c:pt>
                <c:pt idx="9">
                  <c:v>7.612903225806452</c:v>
                </c:pt>
                <c:pt idx="10">
                  <c:v>3.5</c:v>
                </c:pt>
                <c:pt idx="11">
                  <c:v>2.4838709677419355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0E-4B06-838A-52F0F04EB24F}"/>
            </c:ext>
          </c:extLst>
        </c:ser>
        <c:ser>
          <c:idx val="16"/>
          <c:order val="16"/>
          <c:tx>
            <c:v>Actual 2023</c:v>
          </c:tx>
          <c:marker>
            <c:symbol val="none"/>
          </c:marker>
          <c:cat>
            <c:numRef>
              <c:f>[1]Generation!$D$16:$D$27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[1]Generation!$G$148:$G$159</c:f>
              <c:numCache>
                <c:formatCode>0.00</c:formatCode>
                <c:ptCount val="12"/>
                <c:pt idx="0">
                  <c:v>3.838709677419355</c:v>
                </c:pt>
                <c:pt idx="1">
                  <c:v>6.2142857142857144</c:v>
                </c:pt>
                <c:pt idx="2">
                  <c:v>6.161290322580645</c:v>
                </c:pt>
                <c:pt idx="3">
                  <c:v>11.033333333333333</c:v>
                </c:pt>
                <c:pt idx="4">
                  <c:v>11.258064516129032</c:v>
                </c:pt>
                <c:pt idx="5">
                  <c:v>12.8</c:v>
                </c:pt>
                <c:pt idx="6">
                  <c:v>9.5161290322580641</c:v>
                </c:pt>
                <c:pt idx="7">
                  <c:v>10.161290322580646</c:v>
                </c:pt>
                <c:pt idx="8">
                  <c:v>9.0666666666666664</c:v>
                </c:pt>
                <c:pt idx="9">
                  <c:v>6.645161290322581</c:v>
                </c:pt>
                <c:pt idx="10">
                  <c:v>4.0999999999999996</c:v>
                </c:pt>
                <c:pt idx="11">
                  <c:v>1.8709677419354838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0E-4B06-838A-52F0F04EB24F}"/>
            </c:ext>
          </c:extLst>
        </c:ser>
        <c:ser>
          <c:idx val="17"/>
          <c:order val="17"/>
          <c:tx>
            <c:v>Actual 2024</c:v>
          </c:tx>
          <c:marker>
            <c:symbol val="none"/>
          </c:marker>
          <c:val>
            <c:numRef>
              <c:f>[1]Generation!$G$160:$G$171</c:f>
              <c:numCache>
                <c:formatCode>0.00</c:formatCode>
                <c:ptCount val="12"/>
                <c:pt idx="0">
                  <c:v>3.6451612903225805</c:v>
                </c:pt>
                <c:pt idx="1">
                  <c:v>4.1379310344827589</c:v>
                </c:pt>
                <c:pt idx="2">
                  <c:v>6.4838709677419351</c:v>
                </c:pt>
                <c:pt idx="3">
                  <c:v>10</c:v>
                </c:pt>
                <c:pt idx="4">
                  <c:v>11.548387096774194</c:v>
                </c:pt>
                <c:pt idx="5">
                  <c:v>12.566666666666666</c:v>
                </c:pt>
                <c:pt idx="6">
                  <c:v>13.35483870967742</c:v>
                </c:pt>
                <c:pt idx="7">
                  <c:v>14.612903225806452</c:v>
                </c:pt>
                <c:pt idx="8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0E-4B06-838A-52F0F04EB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90560"/>
        <c:axId val="251825536"/>
      </c:lineChart>
      <c:dateAx>
        <c:axId val="234290560"/>
        <c:scaling>
          <c:orientation val="minMax"/>
          <c:max val="41274"/>
          <c:min val="40909"/>
        </c:scaling>
        <c:delete val="0"/>
        <c:axPos val="b"/>
        <c:majorGridlines>
          <c:spPr>
            <a:ln w="9525"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Months</a:t>
                </a:r>
              </a:p>
            </c:rich>
          </c:tx>
          <c:overlay val="0"/>
          <c:spPr>
            <a:ln>
              <a:solidFill>
                <a:schemeClr val="accent1"/>
              </a:solidFill>
            </a:ln>
          </c:spPr>
        </c:title>
        <c:numFmt formatCode="mmm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251825536"/>
        <c:crosses val="autoZero"/>
        <c:auto val="0"/>
        <c:lblOffset val="100"/>
        <c:baseTimeUnit val="months"/>
      </c:dateAx>
      <c:valAx>
        <c:axId val="25182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Daily Generation - KWh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234290560"/>
        <c:crosses val="autoZero"/>
        <c:crossBetween val="between"/>
      </c:valAx>
      <c:spPr>
        <a:ln w="19050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2510804828026185"/>
          <c:y val="2.3252495663600749E-2"/>
          <c:w val="0.13112090189378856"/>
          <c:h val="0.76615249448184164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23622047244094491" r="0.23622047244094491" t="0.35433070866141736" header="0.31496062992125984" footer="0.3149606299212598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9526</xdr:colOff>
      <xdr:row>6</xdr:row>
      <xdr:rowOff>3810</xdr:rowOff>
    </xdr:from>
    <xdr:to>
      <xdr:col>27</xdr:col>
      <xdr:colOff>4838701</xdr:colOff>
      <xdr:row>32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5C3131-2524-4606-9131-3372AF8A8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d8eb4c41016751b/Documents/06%20House%20%5e0%20Garden/PV%20and%20Battery/Utility_Meter_Readings_v05.xlsx" TargetMode="External"/><Relationship Id="rId1" Type="http://schemas.openxmlformats.org/officeDocument/2006/relationships/externalLinkPath" Target="https://d.docs.live.net/3d8eb4c41016751b/Documents/06%20House%20%5e0%20Garden/PV%20and%20Battery/Utility_Meter_Readings_v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er_Readings"/>
      <sheetName val="Monthly Use"/>
      <sheetName val="Usage Charts"/>
      <sheetName val="Battery"/>
      <sheetName val="Generation"/>
      <sheetName val="Gen Summary"/>
      <sheetName val="Tariffs"/>
      <sheetName val="SolarEdge"/>
      <sheetName val="EDF Account"/>
      <sheetName val="EDF Meter Read"/>
      <sheetName val="Thames Water"/>
      <sheetName val="BT"/>
      <sheetName val="Elec Heating"/>
      <sheetName val="CostBen Calcs"/>
      <sheetName val="NOTES"/>
    </sheetNames>
    <sheetDataSet>
      <sheetData sheetId="0"/>
      <sheetData sheetId="1"/>
      <sheetData sheetId="2"/>
      <sheetData sheetId="3"/>
      <sheetData sheetId="4">
        <row r="4">
          <cell r="G4">
            <v>2.76</v>
          </cell>
        </row>
        <row r="5">
          <cell r="G5">
            <v>5.28</v>
          </cell>
        </row>
        <row r="6">
          <cell r="G6">
            <v>6.65</v>
          </cell>
        </row>
        <row r="7">
          <cell r="G7">
            <v>10.26</v>
          </cell>
        </row>
        <row r="8">
          <cell r="G8">
            <v>11.115384615384615</v>
          </cell>
        </row>
        <row r="9">
          <cell r="G9">
            <v>10</v>
          </cell>
        </row>
        <row r="10">
          <cell r="G10">
            <v>9.8695652173913047</v>
          </cell>
        </row>
        <row r="11">
          <cell r="G11">
            <v>8.2083333333333339</v>
          </cell>
        </row>
        <row r="12">
          <cell r="G12">
            <v>9.1333333333333329</v>
          </cell>
          <cell r="M12" t="str">
            <v>SolarEdge Daily Average</v>
          </cell>
        </row>
        <row r="13">
          <cell r="G13">
            <v>7.419354838709677</v>
          </cell>
        </row>
        <row r="14">
          <cell r="G14">
            <v>3.0333333333333332</v>
          </cell>
        </row>
        <row r="15">
          <cell r="G15">
            <v>2.838709677419355</v>
          </cell>
        </row>
        <row r="16">
          <cell r="D16">
            <v>40909</v>
          </cell>
          <cell r="G16">
            <v>2.25</v>
          </cell>
          <cell r="J16">
            <v>3</v>
          </cell>
          <cell r="K16">
            <v>3.5250000000000004</v>
          </cell>
          <cell r="L16">
            <v>2.757056451612903</v>
          </cell>
          <cell r="M16">
            <v>3.4774193548387098</v>
          </cell>
        </row>
        <row r="17">
          <cell r="D17">
            <v>40940</v>
          </cell>
          <cell r="G17">
            <v>7.1428571428571432</v>
          </cell>
          <cell r="J17">
            <v>4</v>
          </cell>
          <cell r="K17">
            <v>4.7</v>
          </cell>
          <cell r="L17">
            <v>5.2832512315270934</v>
          </cell>
          <cell r="M17">
            <v>5.3738916256157641</v>
          </cell>
        </row>
        <row r="18">
          <cell r="D18">
            <v>40969</v>
          </cell>
          <cell r="G18">
            <v>9.258064516129032</v>
          </cell>
          <cell r="J18">
            <v>6</v>
          </cell>
          <cell r="K18">
            <v>7.0500000000000007</v>
          </cell>
          <cell r="L18">
            <v>7.4147465437788016</v>
          </cell>
          <cell r="M18">
            <v>8.2473118279569899</v>
          </cell>
        </row>
        <row r="19">
          <cell r="D19">
            <v>41000</v>
          </cell>
          <cell r="G19">
            <v>9.6</v>
          </cell>
          <cell r="J19">
            <v>8</v>
          </cell>
          <cell r="K19">
            <v>9.4</v>
          </cell>
          <cell r="L19">
            <v>9.7658333333333331</v>
          </cell>
          <cell r="M19">
            <v>12.322222222222223</v>
          </cell>
        </row>
        <row r="20">
          <cell r="D20">
            <v>41030</v>
          </cell>
          <cell r="G20">
            <v>9.67741935483871</v>
          </cell>
          <cell r="J20">
            <v>9.5</v>
          </cell>
          <cell r="K20">
            <v>11.1625</v>
          </cell>
          <cell r="L20">
            <v>9.7321650124069468</v>
          </cell>
          <cell r="M20">
            <v>12.553763440860216</v>
          </cell>
        </row>
        <row r="21">
          <cell r="D21">
            <v>41061</v>
          </cell>
          <cell r="G21">
            <v>8.8333333333333339</v>
          </cell>
          <cell r="J21">
            <v>10.5</v>
          </cell>
          <cell r="K21">
            <v>12.3375</v>
          </cell>
          <cell r="L21">
            <v>9.0458333333333343</v>
          </cell>
          <cell r="M21">
            <v>12.046666666666667</v>
          </cell>
        </row>
        <row r="22">
          <cell r="D22">
            <v>41091</v>
          </cell>
          <cell r="G22">
            <v>8.935483870967742</v>
          </cell>
          <cell r="J22">
            <v>10.5</v>
          </cell>
          <cell r="K22">
            <v>12.3375</v>
          </cell>
          <cell r="L22">
            <v>8.628856942496494</v>
          </cell>
          <cell r="M22">
            <v>11.193548387096774</v>
          </cell>
        </row>
        <row r="23">
          <cell r="D23">
            <v>41122</v>
          </cell>
          <cell r="G23">
            <v>9.064516129032258</v>
          </cell>
          <cell r="J23">
            <v>9.5</v>
          </cell>
          <cell r="K23">
            <v>11.1625</v>
          </cell>
          <cell r="L23">
            <v>8.1752352150537622</v>
          </cell>
          <cell r="M23">
            <v>10.845161290322581</v>
          </cell>
        </row>
        <row r="24">
          <cell r="D24">
            <v>41153</v>
          </cell>
          <cell r="G24">
            <v>8.9</v>
          </cell>
          <cell r="J24">
            <v>8</v>
          </cell>
          <cell r="K24">
            <v>9.4</v>
          </cell>
          <cell r="L24">
            <v>7.3624999999999998</v>
          </cell>
          <cell r="M24">
            <v>9.6466666666666665</v>
          </cell>
        </row>
        <row r="25">
          <cell r="D25">
            <v>41183</v>
          </cell>
          <cell r="G25">
            <v>5.967741935483871</v>
          </cell>
          <cell r="J25">
            <v>6</v>
          </cell>
          <cell r="K25">
            <v>7.0500000000000007</v>
          </cell>
          <cell r="L25">
            <v>5.3467741935483879</v>
          </cell>
          <cell r="M25">
            <v>6.2</v>
          </cell>
        </row>
        <row r="26">
          <cell r="D26">
            <v>41214</v>
          </cell>
          <cell r="G26">
            <v>3.4666666666666668</v>
          </cell>
          <cell r="J26">
            <v>4</v>
          </cell>
          <cell r="K26">
            <v>4.7</v>
          </cell>
          <cell r="L26">
            <v>3.2166666666666668</v>
          </cell>
          <cell r="M26">
            <v>3.7599999999999993</v>
          </cell>
        </row>
        <row r="27">
          <cell r="D27">
            <v>41244</v>
          </cell>
          <cell r="G27">
            <v>2.3548387096774195</v>
          </cell>
          <cell r="J27">
            <v>3</v>
          </cell>
          <cell r="K27">
            <v>3.5250000000000004</v>
          </cell>
          <cell r="L27">
            <v>2.350806451612903</v>
          </cell>
          <cell r="M27">
            <v>2.3741935483870966</v>
          </cell>
        </row>
        <row r="28">
          <cell r="G28">
            <v>2</v>
          </cell>
        </row>
        <row r="29">
          <cell r="G29">
            <v>4.4285714285714288</v>
          </cell>
        </row>
        <row r="30">
          <cell r="G30">
            <v>4.774193548387097</v>
          </cell>
        </row>
        <row r="31">
          <cell r="G31">
            <v>10.833333333333334</v>
          </cell>
        </row>
        <row r="32">
          <cell r="G32">
            <v>9.32258064516129</v>
          </cell>
        </row>
        <row r="33">
          <cell r="G33">
            <v>9.2333333333333325</v>
          </cell>
        </row>
        <row r="34">
          <cell r="G34">
            <v>10.419354838709678</v>
          </cell>
        </row>
        <row r="35">
          <cell r="G35">
            <v>10.35483870967742</v>
          </cell>
        </row>
        <row r="36">
          <cell r="G36">
            <v>5.9333333333333336</v>
          </cell>
        </row>
        <row r="37">
          <cell r="G37">
            <v>4.387096774193548</v>
          </cell>
        </row>
        <row r="38">
          <cell r="G38">
            <v>3.4</v>
          </cell>
        </row>
        <row r="39">
          <cell r="G39">
            <v>2.129032258064516</v>
          </cell>
        </row>
        <row r="40">
          <cell r="G40">
            <v>3.032258064516129</v>
          </cell>
        </row>
        <row r="41">
          <cell r="G41">
            <v>5.25</v>
          </cell>
        </row>
        <row r="42">
          <cell r="G42">
            <v>9.32258064516129</v>
          </cell>
        </row>
        <row r="43">
          <cell r="G43">
            <v>9.1666666666666661</v>
          </cell>
        </row>
        <row r="44">
          <cell r="G44">
            <v>9.387096774193548</v>
          </cell>
        </row>
        <row r="45">
          <cell r="G45">
            <v>9.8666666666666671</v>
          </cell>
        </row>
        <row r="46">
          <cell r="G46">
            <v>8.387096774193548</v>
          </cell>
        </row>
        <row r="47">
          <cell r="G47">
            <v>8.4516129032258061</v>
          </cell>
        </row>
        <row r="48">
          <cell r="G48">
            <v>6.333333333333333</v>
          </cell>
        </row>
        <row r="49">
          <cell r="G49">
            <v>4.193548387096774</v>
          </cell>
        </row>
        <row r="50">
          <cell r="G50">
            <v>2.3333333333333335</v>
          </cell>
        </row>
        <row r="51">
          <cell r="G51">
            <v>2.870967741935484</v>
          </cell>
        </row>
        <row r="52">
          <cell r="G52">
            <v>3.3225806451612905</v>
          </cell>
        </row>
        <row r="53">
          <cell r="G53">
            <v>4.5357142857142856</v>
          </cell>
        </row>
        <row r="54">
          <cell r="G54">
            <v>8.258064516129032</v>
          </cell>
        </row>
        <row r="55">
          <cell r="G55">
            <v>11.133333333333333</v>
          </cell>
        </row>
        <row r="56">
          <cell r="G56">
            <v>10.193548387096774</v>
          </cell>
        </row>
        <row r="57">
          <cell r="G57">
            <v>8.9</v>
          </cell>
        </row>
        <row r="58">
          <cell r="G58">
            <v>7.870967741935484</v>
          </cell>
        </row>
        <row r="59">
          <cell r="G59">
            <v>6.096774193548387</v>
          </cell>
        </row>
        <row r="60">
          <cell r="G60">
            <v>7.7666666666666666</v>
          </cell>
        </row>
        <row r="61">
          <cell r="G61">
            <v>4.612903225806452</v>
          </cell>
        </row>
        <row r="62">
          <cell r="G62">
            <v>1.9333333333333333</v>
          </cell>
        </row>
        <row r="63">
          <cell r="G63">
            <v>1.5161290322580645</v>
          </cell>
        </row>
        <row r="64">
          <cell r="G64">
            <v>2.4838709677419355</v>
          </cell>
        </row>
        <row r="65">
          <cell r="G65">
            <v>4.5517241379310347</v>
          </cell>
        </row>
        <row r="66">
          <cell r="G66">
            <v>7.129032258064516</v>
          </cell>
        </row>
        <row r="67">
          <cell r="G67">
            <v>9.3000000000000007</v>
          </cell>
        </row>
        <row r="68">
          <cell r="G68">
            <v>9.3548387096774199</v>
          </cell>
        </row>
        <row r="69">
          <cell r="G69">
            <v>6.7666666666666666</v>
          </cell>
        </row>
        <row r="70">
          <cell r="G70">
            <v>7.193548387096774</v>
          </cell>
        </row>
        <row r="71">
          <cell r="G71">
            <v>8.129032258064516</v>
          </cell>
        </row>
        <row r="72">
          <cell r="G72">
            <v>5.6</v>
          </cell>
        </row>
        <row r="73">
          <cell r="G73">
            <v>4.5483870967741939</v>
          </cell>
        </row>
        <row r="74">
          <cell r="G74">
            <v>3.9333333333333331</v>
          </cell>
        </row>
        <row r="75">
          <cell r="G75">
            <v>2.6129032258064515</v>
          </cell>
        </row>
        <row r="76">
          <cell r="G76">
            <v>3.2580645161290325</v>
          </cell>
        </row>
        <row r="77">
          <cell r="G77">
            <v>3.6785714285714284</v>
          </cell>
        </row>
        <row r="78">
          <cell r="G78">
            <v>7.903225806451613</v>
          </cell>
        </row>
        <row r="79">
          <cell r="G79">
            <v>10.333333333333334</v>
          </cell>
        </row>
        <row r="80">
          <cell r="G80">
            <v>8.612903225806452</v>
          </cell>
        </row>
        <row r="81">
          <cell r="G81">
            <v>9.2666666666666675</v>
          </cell>
        </row>
        <row r="82">
          <cell r="G82">
            <v>8.0967741935483879</v>
          </cell>
        </row>
        <row r="83">
          <cell r="G83">
            <v>8</v>
          </cell>
        </row>
        <row r="84">
          <cell r="G84">
            <v>6.3666666666666663</v>
          </cell>
        </row>
        <row r="85">
          <cell r="G85">
            <v>4.67741935483871</v>
          </cell>
        </row>
        <row r="86">
          <cell r="G86">
            <v>4.166666666666667</v>
          </cell>
        </row>
        <row r="87">
          <cell r="G87">
            <v>2.3225806451612905</v>
          </cell>
        </row>
        <row r="88">
          <cell r="G88">
            <v>2.6451612903225805</v>
          </cell>
        </row>
        <row r="100">
          <cell r="G100">
            <v>3.064516129032258</v>
          </cell>
        </row>
        <row r="101">
          <cell r="G101">
            <v>6.7857142857142856</v>
          </cell>
        </row>
        <row r="102">
          <cell r="G102">
            <v>7.935483870967742</v>
          </cell>
        </row>
        <row r="103">
          <cell r="G103">
            <v>11.8</v>
          </cell>
        </row>
        <row r="104">
          <cell r="G104">
            <v>12.193548387096774</v>
          </cell>
        </row>
        <row r="105">
          <cell r="G105">
            <v>10.433333333333334</v>
          </cell>
        </row>
        <row r="106">
          <cell r="G106">
            <v>10.709677419354838</v>
          </cell>
        </row>
        <row r="107">
          <cell r="G107">
            <v>11.774193548387096</v>
          </cell>
        </row>
        <row r="108">
          <cell r="G108">
            <v>10.633333333333333</v>
          </cell>
        </row>
        <row r="109">
          <cell r="G109">
            <v>5.387096774193548</v>
          </cell>
        </row>
        <row r="110">
          <cell r="G110">
            <v>3.3</v>
          </cell>
        </row>
        <row r="111">
          <cell r="G111">
            <v>3.5806451612903225</v>
          </cell>
        </row>
        <row r="112">
          <cell r="G112">
            <v>3.3225806451612905</v>
          </cell>
        </row>
        <row r="113">
          <cell r="G113">
            <v>5.5172413793103452</v>
          </cell>
        </row>
        <row r="114">
          <cell r="G114">
            <v>10.709677419354838</v>
          </cell>
        </row>
        <row r="115">
          <cell r="G115">
            <v>15.366666666666667</v>
          </cell>
        </row>
        <row r="116">
          <cell r="G116">
            <v>16.516129032258064</v>
          </cell>
        </row>
        <row r="117">
          <cell r="G117">
            <v>12.733333333333333</v>
          </cell>
        </row>
        <row r="118">
          <cell r="G118">
            <v>11.838709677419354</v>
          </cell>
        </row>
        <row r="119">
          <cell r="G119">
            <v>10.741935483870968</v>
          </cell>
        </row>
        <row r="120">
          <cell r="G120">
            <v>10.5</v>
          </cell>
        </row>
        <row r="121">
          <cell r="G121">
            <v>4.741935483870968</v>
          </cell>
        </row>
        <row r="122">
          <cell r="G122">
            <v>3.6</v>
          </cell>
        </row>
        <row r="123">
          <cell r="G123">
            <v>2.4193548387096775</v>
          </cell>
        </row>
        <row r="124">
          <cell r="G124">
            <v>2.5483870967741935</v>
          </cell>
        </row>
        <row r="125">
          <cell r="G125">
            <v>5.1428571428571432</v>
          </cell>
        </row>
        <row r="126">
          <cell r="G126">
            <v>8.193548387096774</v>
          </cell>
        </row>
        <row r="127">
          <cell r="G127">
            <v>13.666666666666666</v>
          </cell>
        </row>
        <row r="128">
          <cell r="G128">
            <v>11.451612903225806</v>
          </cell>
        </row>
        <row r="129">
          <cell r="G129">
            <v>11.633333333333333</v>
          </cell>
        </row>
        <row r="130">
          <cell r="G130">
            <v>11.161290322580646</v>
          </cell>
        </row>
        <row r="131">
          <cell r="G131">
            <v>9.7096774193548381</v>
          </cell>
        </row>
        <row r="132">
          <cell r="G132">
            <v>9.3000000000000007</v>
          </cell>
        </row>
        <row r="133">
          <cell r="G133">
            <v>6.612903225806452</v>
          </cell>
        </row>
        <row r="134">
          <cell r="G134">
            <v>4.3</v>
          </cell>
        </row>
        <row r="135">
          <cell r="G135">
            <v>1.5161290322580645</v>
          </cell>
        </row>
        <row r="136">
          <cell r="G136">
            <v>4.032258064516129</v>
          </cell>
        </row>
        <row r="137">
          <cell r="G137">
            <v>5.8571428571428568</v>
          </cell>
        </row>
        <row r="138">
          <cell r="G138">
            <v>10</v>
          </cell>
        </row>
        <row r="139">
          <cell r="G139">
            <v>12.066666666666666</v>
          </cell>
        </row>
        <row r="140">
          <cell r="G140">
            <v>12.35483870967742</v>
          </cell>
        </row>
        <row r="141">
          <cell r="G141">
            <v>12.633333333333333</v>
          </cell>
        </row>
        <row r="142">
          <cell r="G142">
            <v>12.741935483870968</v>
          </cell>
        </row>
        <row r="143">
          <cell r="G143">
            <v>11.838709677419354</v>
          </cell>
        </row>
        <row r="144">
          <cell r="G144">
            <v>8.7333333333333325</v>
          </cell>
        </row>
        <row r="145">
          <cell r="G145">
            <v>7.612903225806452</v>
          </cell>
        </row>
        <row r="146">
          <cell r="G146">
            <v>3.5</v>
          </cell>
        </row>
        <row r="147">
          <cell r="G147">
            <v>2.4838709677419355</v>
          </cell>
        </row>
        <row r="148">
          <cell r="G148">
            <v>3.838709677419355</v>
          </cell>
        </row>
        <row r="149">
          <cell r="G149">
            <v>6.2142857142857144</v>
          </cell>
        </row>
        <row r="150">
          <cell r="G150">
            <v>6.161290322580645</v>
          </cell>
        </row>
        <row r="151">
          <cell r="G151">
            <v>11.033333333333333</v>
          </cell>
        </row>
        <row r="152">
          <cell r="G152">
            <v>11.258064516129032</v>
          </cell>
        </row>
        <row r="153">
          <cell r="G153">
            <v>12.8</v>
          </cell>
        </row>
        <row r="154">
          <cell r="G154">
            <v>9.5161290322580641</v>
          </cell>
        </row>
        <row r="155">
          <cell r="G155">
            <v>10.161290322580646</v>
          </cell>
        </row>
        <row r="156">
          <cell r="G156">
            <v>9.0666666666666664</v>
          </cell>
        </row>
        <row r="157">
          <cell r="G157">
            <v>6.645161290322581</v>
          </cell>
        </row>
        <row r="158">
          <cell r="G158">
            <v>4.0999999999999996</v>
          </cell>
        </row>
        <row r="159">
          <cell r="G159">
            <v>1.8709677419354838</v>
          </cell>
        </row>
        <row r="160">
          <cell r="G160">
            <v>3.6451612903225805</v>
          </cell>
        </row>
        <row r="161">
          <cell r="G161">
            <v>4.1379310344827589</v>
          </cell>
        </row>
        <row r="162">
          <cell r="G162">
            <v>6.4838709677419351</v>
          </cell>
        </row>
        <row r="163">
          <cell r="G163">
            <v>10</v>
          </cell>
        </row>
        <row r="164">
          <cell r="G164">
            <v>11.548387096774194</v>
          </cell>
        </row>
        <row r="165">
          <cell r="G165">
            <v>12.566666666666666</v>
          </cell>
        </row>
        <row r="166">
          <cell r="G166">
            <v>13.35483870967742</v>
          </cell>
        </row>
        <row r="167">
          <cell r="G167">
            <v>14.612903225806452</v>
          </cell>
        </row>
        <row r="168">
          <cell r="G168">
            <v>12.1</v>
          </cell>
        </row>
      </sheetData>
      <sheetData sheetId="5"/>
      <sheetData sheetId="6"/>
      <sheetData sheetId="7">
        <row r="9">
          <cell r="C9">
            <v>84415</v>
          </cell>
          <cell r="D9">
            <v>95520</v>
          </cell>
        </row>
        <row r="10">
          <cell r="C10">
            <v>250387</v>
          </cell>
          <cell r="D10">
            <v>242380</v>
          </cell>
        </row>
        <row r="11">
          <cell r="C11">
            <v>236944</v>
          </cell>
          <cell r="D11">
            <v>186318</v>
          </cell>
        </row>
        <row r="12">
          <cell r="C12">
            <v>101122</v>
          </cell>
          <cell r="D12">
            <v>354780</v>
          </cell>
        </row>
        <row r="13">
          <cell r="C13">
            <v>43970</v>
          </cell>
          <cell r="D13">
            <v>636694</v>
          </cell>
        </row>
        <row r="14">
          <cell r="C14">
            <v>69637</v>
          </cell>
          <cell r="D14">
            <v>399453</v>
          </cell>
        </row>
        <row r="15">
          <cell r="C15">
            <v>57369</v>
          </cell>
          <cell r="D15">
            <v>365452</v>
          </cell>
        </row>
        <row r="16">
          <cell r="C16">
            <v>94555</v>
          </cell>
          <cell r="D16">
            <v>363506</v>
          </cell>
        </row>
        <row r="17">
          <cell r="C17">
            <v>238719</v>
          </cell>
          <cell r="D17">
            <v>295957</v>
          </cell>
        </row>
        <row r="18">
          <cell r="C18">
            <v>325392</v>
          </cell>
          <cell r="D18">
            <v>255511</v>
          </cell>
        </row>
        <row r="19">
          <cell r="C19">
            <v>355280</v>
          </cell>
          <cell r="D19">
            <v>240943</v>
          </cell>
        </row>
        <row r="20">
          <cell r="C20">
            <v>247763</v>
          </cell>
          <cell r="D20">
            <v>248326</v>
          </cell>
        </row>
        <row r="21">
          <cell r="C21">
            <v>252026</v>
          </cell>
          <cell r="D21">
            <v>263871</v>
          </cell>
        </row>
        <row r="22">
          <cell r="C22">
            <v>196022</v>
          </cell>
          <cell r="D22">
            <v>284045</v>
          </cell>
        </row>
        <row r="23">
          <cell r="C23">
            <v>215742</v>
          </cell>
          <cell r="D23">
            <v>276849</v>
          </cell>
        </row>
        <row r="24">
          <cell r="C24">
            <v>75632</v>
          </cell>
          <cell r="D24">
            <v>386714</v>
          </cell>
        </row>
        <row r="25">
          <cell r="C25">
            <v>52935</v>
          </cell>
          <cell r="D25">
            <v>371829</v>
          </cell>
        </row>
        <row r="26">
          <cell r="C26">
            <v>42130</v>
          </cell>
          <cell r="D26">
            <v>313848</v>
          </cell>
        </row>
        <row r="27">
          <cell r="C27">
            <v>38989</v>
          </cell>
          <cell r="D27">
            <v>316219</v>
          </cell>
        </row>
        <row r="28">
          <cell r="C28">
            <v>83770</v>
          </cell>
          <cell r="D28">
            <v>270411</v>
          </cell>
        </row>
        <row r="29">
          <cell r="C29">
            <v>135198</v>
          </cell>
          <cell r="D29">
            <v>544633</v>
          </cell>
        </row>
        <row r="30">
          <cell r="C30">
            <v>258061</v>
          </cell>
          <cell r="D30">
            <v>409316</v>
          </cell>
        </row>
        <row r="31">
          <cell r="C31">
            <v>239675</v>
          </cell>
          <cell r="D31">
            <v>249155</v>
          </cell>
        </row>
        <row r="32">
          <cell r="C32">
            <v>253594</v>
          </cell>
          <cell r="D32">
            <v>158962</v>
          </cell>
        </row>
        <row r="33">
          <cell r="C33">
            <v>228844</v>
          </cell>
          <cell r="D33">
            <v>171767</v>
          </cell>
        </row>
        <row r="34">
          <cell r="C34">
            <v>204700</v>
          </cell>
          <cell r="D34">
            <v>161872</v>
          </cell>
        </row>
        <row r="35">
          <cell r="C35">
            <v>206106</v>
          </cell>
          <cell r="D35">
            <v>231197</v>
          </cell>
        </row>
        <row r="36">
          <cell r="C36">
            <v>135529</v>
          </cell>
          <cell r="D36">
            <v>374989</v>
          </cell>
        </row>
        <row r="37">
          <cell r="C37">
            <v>88653</v>
          </cell>
          <cell r="D37">
            <v>468850</v>
          </cell>
        </row>
        <row r="38">
          <cell r="C38">
            <v>19642</v>
          </cell>
          <cell r="D38">
            <v>587841</v>
          </cell>
        </row>
        <row r="39">
          <cell r="C39">
            <v>69219</v>
          </cell>
          <cell r="D39">
            <v>588584</v>
          </cell>
        </row>
        <row r="40">
          <cell r="C40">
            <v>95999</v>
          </cell>
          <cell r="D40">
            <v>559003</v>
          </cell>
        </row>
        <row r="41">
          <cell r="C41">
            <v>201220</v>
          </cell>
          <cell r="D41">
            <v>575568</v>
          </cell>
        </row>
        <row r="42">
          <cell r="C42">
            <v>244122</v>
          </cell>
          <cell r="D42">
            <v>428153</v>
          </cell>
        </row>
        <row r="43">
          <cell r="C43">
            <v>253326</v>
          </cell>
          <cell r="D43">
            <v>350290</v>
          </cell>
        </row>
        <row r="44">
          <cell r="C44">
            <v>257966</v>
          </cell>
          <cell r="D44">
            <v>255818</v>
          </cell>
        </row>
        <row r="45">
          <cell r="C45">
            <v>260691</v>
          </cell>
          <cell r="D45">
            <v>255139</v>
          </cell>
        </row>
        <row r="46">
          <cell r="C46">
            <v>255950</v>
          </cell>
          <cell r="D46">
            <v>236466</v>
          </cell>
        </row>
        <row r="47">
          <cell r="C47">
            <v>167463</v>
          </cell>
          <cell r="D47">
            <v>197082</v>
          </cell>
        </row>
        <row r="48">
          <cell r="C48">
            <v>174854</v>
          </cell>
          <cell r="D48">
            <v>230267</v>
          </cell>
        </row>
        <row r="49">
          <cell r="C49">
            <v>66394</v>
          </cell>
          <cell r="D49">
            <v>276995</v>
          </cell>
        </row>
        <row r="50">
          <cell r="C50">
            <v>41512</v>
          </cell>
          <cell r="D50">
            <v>441912</v>
          </cell>
        </row>
        <row r="51">
          <cell r="C51">
            <v>78037</v>
          </cell>
          <cell r="D51">
            <v>398661</v>
          </cell>
        </row>
        <row r="52">
          <cell r="C52">
            <v>119459</v>
          </cell>
          <cell r="D52">
            <v>306921</v>
          </cell>
        </row>
        <row r="53">
          <cell r="C53">
            <v>116957</v>
          </cell>
          <cell r="D53">
            <v>319299</v>
          </cell>
        </row>
        <row r="54">
          <cell r="C54">
            <v>238345</v>
          </cell>
          <cell r="D54">
            <v>237206</v>
          </cell>
        </row>
        <row r="55">
          <cell r="C55">
            <v>235489</v>
          </cell>
          <cell r="D55">
            <v>145029</v>
          </cell>
        </row>
        <row r="56">
          <cell r="C56">
            <v>275832</v>
          </cell>
          <cell r="D56">
            <v>144557</v>
          </cell>
        </row>
        <row r="57">
          <cell r="C57">
            <v>193411</v>
          </cell>
          <cell r="D57">
            <v>161798</v>
          </cell>
        </row>
        <row r="58">
          <cell r="C58">
            <v>216653</v>
          </cell>
          <cell r="D58">
            <v>183639</v>
          </cell>
        </row>
        <row r="59">
          <cell r="C59">
            <v>195092</v>
          </cell>
          <cell r="D59">
            <v>169212</v>
          </cell>
        </row>
        <row r="60">
          <cell r="C60">
            <v>132485</v>
          </cell>
          <cell r="D60">
            <v>238710</v>
          </cell>
        </row>
        <row r="61">
          <cell r="C61">
            <v>80354</v>
          </cell>
          <cell r="D61">
            <v>345305</v>
          </cell>
        </row>
        <row r="62">
          <cell r="C62">
            <v>22061</v>
          </cell>
          <cell r="D62">
            <v>370581</v>
          </cell>
        </row>
        <row r="63">
          <cell r="C63">
            <v>55028</v>
          </cell>
          <cell r="D63">
            <v>405385</v>
          </cell>
        </row>
        <row r="64">
          <cell r="C64">
            <v>62105</v>
          </cell>
          <cell r="D64">
            <v>332018</v>
          </cell>
        </row>
        <row r="65">
          <cell r="C65">
            <v>123705</v>
          </cell>
          <cell r="D65">
            <v>290449</v>
          </cell>
        </row>
        <row r="66">
          <cell r="C66">
            <v>221785</v>
          </cell>
          <cell r="D66">
            <v>177477</v>
          </cell>
        </row>
        <row r="67">
          <cell r="C67">
            <v>150436</v>
          </cell>
          <cell r="D67">
            <v>163756</v>
          </cell>
        </row>
        <row r="68">
          <cell r="C68">
            <v>150063</v>
          </cell>
          <cell r="D68">
            <v>125799</v>
          </cell>
        </row>
        <row r="69">
          <cell r="C69">
            <v>139188</v>
          </cell>
          <cell r="D69">
            <v>202746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ofgem.gov.uk/publications-and-updates/feed-tariff-fit-tariff-table-1-april-2019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ofgem.gov.uk/publications-and-updates/feed-tariff-fit-tariff-table-1-april-2020" TargetMode="External"/><Relationship Id="rId1" Type="http://schemas.openxmlformats.org/officeDocument/2006/relationships/hyperlink" Target="https://www.ofgem.gov.uk/publications-and-updates/feed-tariff-fit-tariff-table-1-april-2021" TargetMode="External"/><Relationship Id="rId6" Type="http://schemas.openxmlformats.org/officeDocument/2006/relationships/hyperlink" Target="https://www.ofgem.gov.uk/publications/feed-tariff-fit-tariff-table-1-april-2024" TargetMode="External"/><Relationship Id="rId5" Type="http://schemas.openxmlformats.org/officeDocument/2006/relationships/hyperlink" Target="https://www.ofgem.gov.uk/publications/feed-tariff-fit-tariff-table-1-april-2023" TargetMode="External"/><Relationship Id="rId4" Type="http://schemas.openxmlformats.org/officeDocument/2006/relationships/hyperlink" Target="https://www.ofgem.gov.uk/publications/feed-tariff-fit-tariff-table-1-april-2022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8CE0-4BAF-47B8-92D1-CA3E84026293}">
  <dimension ref="A2:BG171"/>
  <sheetViews>
    <sheetView tabSelected="1" workbookViewId="0">
      <selection activeCell="M9" sqref="M9"/>
    </sheetView>
  </sheetViews>
  <sheetFormatPr defaultColWidth="9.140625" defaultRowHeight="15" x14ac:dyDescent="0.25"/>
  <cols>
    <col min="1" max="1" width="10.7109375" style="1" bestFit="1" customWidth="1"/>
    <col min="2" max="2" width="8.140625" style="2" bestFit="1" customWidth="1"/>
    <col min="3" max="3" width="7.42578125" style="2" bestFit="1" customWidth="1"/>
    <col min="4" max="4" width="7" style="2" bestFit="1" customWidth="1"/>
    <col min="5" max="5" width="4.28515625" style="2" bestFit="1" customWidth="1"/>
    <col min="6" max="6" width="5" style="2" bestFit="1" customWidth="1"/>
    <col min="7" max="7" width="5.5703125" style="1" bestFit="1" customWidth="1"/>
    <col min="8" max="9" width="10.7109375" style="1" bestFit="1" customWidth="1"/>
    <col min="10" max="10" width="8.28515625" style="2" bestFit="1" customWidth="1"/>
    <col min="11" max="11" width="8.5703125" style="2" bestFit="1" customWidth="1"/>
    <col min="12" max="12" width="9.85546875" style="2" customWidth="1"/>
    <col min="13" max="13" width="10.28515625" style="2" customWidth="1"/>
    <col min="14" max="15" width="10.7109375" style="2" bestFit="1" customWidth="1"/>
    <col min="16" max="17" width="10.28515625" style="2" bestFit="1" customWidth="1"/>
    <col min="18" max="18" width="8.42578125" style="2" bestFit="1" customWidth="1"/>
    <col min="19" max="19" width="7.140625" style="2" bestFit="1" customWidth="1"/>
    <col min="20" max="20" width="8.85546875" style="2" bestFit="1" customWidth="1"/>
    <col min="21" max="21" width="6.7109375" style="2" bestFit="1" customWidth="1"/>
    <col min="22" max="22" width="9.28515625" style="2" bestFit="1" customWidth="1"/>
    <col min="23" max="23" width="6.140625" style="2" bestFit="1" customWidth="1"/>
    <col min="24" max="24" width="7.140625" style="2" bestFit="1" customWidth="1"/>
    <col min="25" max="25" width="10.5703125" style="2" bestFit="1" customWidth="1"/>
    <col min="26" max="26" width="8.7109375" style="2" bestFit="1" customWidth="1"/>
    <col min="27" max="27" width="9.140625" style="2"/>
    <col min="28" max="28" width="85.85546875" style="2" bestFit="1" customWidth="1"/>
    <col min="29" max="29" width="7.85546875" style="2" customWidth="1"/>
    <col min="30" max="31" width="9.140625" style="2"/>
    <col min="32" max="32" width="11" style="2" bestFit="1" customWidth="1"/>
    <col min="33" max="33" width="3.5703125" style="2" bestFit="1" customWidth="1"/>
    <col min="34" max="34" width="6.140625" style="2" bestFit="1" customWidth="1"/>
    <col min="35" max="35" width="5.5703125" style="2" bestFit="1" customWidth="1"/>
    <col min="36" max="36" width="9.140625" style="2"/>
    <col min="37" max="37" width="15.28515625" style="2" bestFit="1" customWidth="1"/>
    <col min="38" max="38" width="5.85546875" style="2" bestFit="1" customWidth="1"/>
    <col min="39" max="39" width="12.7109375" style="2" customWidth="1"/>
    <col min="40" max="41" width="5.5703125" style="2" bestFit="1" customWidth="1"/>
    <col min="42" max="43" width="9.140625" style="2"/>
    <col min="44" max="44" width="26" style="2" bestFit="1" customWidth="1"/>
    <col min="45" max="45" width="14.28515625" style="2" bestFit="1" customWidth="1"/>
    <col min="46" max="46" width="6" style="2" bestFit="1" customWidth="1"/>
    <col min="47" max="47" width="18.7109375" style="2" bestFit="1" customWidth="1"/>
    <col min="48" max="48" width="11" style="2" bestFit="1" customWidth="1"/>
    <col min="49" max="49" width="10.7109375" style="2" bestFit="1" customWidth="1"/>
    <col min="50" max="50" width="6.5703125" style="2" bestFit="1" customWidth="1"/>
    <col min="51" max="51" width="8.7109375" style="2" bestFit="1" customWidth="1"/>
    <col min="52" max="52" width="12.42578125" style="2" bestFit="1" customWidth="1"/>
    <col min="53" max="53" width="9.42578125" style="2" bestFit="1" customWidth="1"/>
    <col min="54" max="54" width="11.5703125" style="2" bestFit="1" customWidth="1"/>
    <col min="55" max="55" width="12.42578125" style="2" bestFit="1" customWidth="1"/>
    <col min="56" max="56" width="3.85546875" style="2" bestFit="1" customWidth="1"/>
    <col min="57" max="57" width="8.42578125" style="2" bestFit="1" customWidth="1"/>
    <col min="58" max="58" width="6.5703125" style="2" bestFit="1" customWidth="1"/>
    <col min="59" max="59" width="7.140625" style="2" bestFit="1" customWidth="1"/>
    <col min="60" max="16384" width="9.140625" style="2"/>
  </cols>
  <sheetData>
    <row r="2" spans="1:57" ht="15.75" thickBot="1" x14ac:dyDescent="0.3">
      <c r="P2" s="3" t="s">
        <v>0</v>
      </c>
      <c r="Q2" s="3"/>
      <c r="R2" s="3"/>
      <c r="S2" s="3"/>
      <c r="T2" s="3"/>
      <c r="U2" s="3"/>
      <c r="V2" s="3"/>
      <c r="W2" s="3"/>
    </row>
    <row r="3" spans="1:57" ht="45.75" thickBot="1" x14ac:dyDescent="0.3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7</v>
      </c>
      <c r="O3" s="4" t="s">
        <v>8</v>
      </c>
      <c r="P3" s="5"/>
      <c r="Q3" s="5"/>
      <c r="R3" s="5"/>
      <c r="AF3" s="6" t="s">
        <v>13</v>
      </c>
      <c r="AG3" s="6"/>
      <c r="AH3" s="6"/>
      <c r="AI3" s="6"/>
      <c r="AJ3" s="4"/>
      <c r="AL3" s="7" t="s">
        <v>14</v>
      </c>
      <c r="AM3" s="8"/>
      <c r="AN3" s="8"/>
      <c r="AO3" s="9"/>
      <c r="AR3" s="6" t="s">
        <v>15</v>
      </c>
      <c r="AS3" s="6"/>
      <c r="AT3" s="4"/>
      <c r="AU3" s="6" t="s">
        <v>16</v>
      </c>
      <c r="AV3" s="6"/>
      <c r="AW3" s="6"/>
      <c r="AY3" s="10" t="s">
        <v>17</v>
      </c>
      <c r="AZ3" s="11" t="s">
        <v>18</v>
      </c>
      <c r="BA3" s="11" t="s">
        <v>19</v>
      </c>
      <c r="BB3" s="11" t="s">
        <v>20</v>
      </c>
      <c r="BC3" s="11" t="s">
        <v>21</v>
      </c>
      <c r="BD3" s="11" t="s">
        <v>22</v>
      </c>
      <c r="BE3" s="12" t="s">
        <v>23</v>
      </c>
    </row>
    <row r="4" spans="1:57" ht="15.75" thickBot="1" x14ac:dyDescent="0.3">
      <c r="A4" s="13">
        <v>40544</v>
      </c>
      <c r="B4" s="2">
        <v>0</v>
      </c>
      <c r="C4" s="14">
        <v>40544</v>
      </c>
      <c r="D4" s="15">
        <f t="shared" ref="D4:D68" si="0">C4</f>
        <v>40544</v>
      </c>
      <c r="E4" s="16">
        <v>1</v>
      </c>
      <c r="F4" s="16">
        <v>2011</v>
      </c>
      <c r="G4" s="17">
        <v>2.76</v>
      </c>
      <c r="H4" s="17"/>
      <c r="I4" s="17"/>
      <c r="J4" s="18"/>
      <c r="K4" s="18"/>
      <c r="L4" s="18"/>
      <c r="P4" s="5"/>
      <c r="Q4" s="5"/>
      <c r="R4" s="5"/>
      <c r="AH4" s="19" t="s">
        <v>24</v>
      </c>
      <c r="AI4" s="19"/>
      <c r="AJ4" s="19" t="s">
        <v>25</v>
      </c>
      <c r="AK4" s="19"/>
      <c r="AL4" s="20" t="s">
        <v>26</v>
      </c>
      <c r="AM4" s="21" t="s">
        <v>27</v>
      </c>
      <c r="AN4" s="22"/>
      <c r="AO4" s="21" t="s">
        <v>28</v>
      </c>
      <c r="AP4" s="23" t="s">
        <v>29</v>
      </c>
      <c r="AR4" s="24" t="s">
        <v>30</v>
      </c>
      <c r="AS4" s="25">
        <v>40673</v>
      </c>
      <c r="AT4" s="25"/>
      <c r="AU4" s="2" t="s">
        <v>31</v>
      </c>
      <c r="AW4" s="25">
        <v>40652</v>
      </c>
      <c r="AY4" s="26" t="s">
        <v>32</v>
      </c>
      <c r="AZ4" s="27" t="s">
        <v>33</v>
      </c>
      <c r="BA4" s="28" t="s">
        <v>34</v>
      </c>
      <c r="BB4" s="27" t="s">
        <v>35</v>
      </c>
      <c r="BC4" s="27" t="s">
        <v>36</v>
      </c>
      <c r="BD4" s="28">
        <v>30</v>
      </c>
      <c r="BE4" s="29">
        <v>135</v>
      </c>
    </row>
    <row r="5" spans="1:57" x14ac:dyDescent="0.25">
      <c r="A5" s="13">
        <v>40575</v>
      </c>
      <c r="B5" s="2">
        <v>0</v>
      </c>
      <c r="C5" s="14">
        <v>40575</v>
      </c>
      <c r="D5" s="15">
        <f t="shared" si="0"/>
        <v>40575</v>
      </c>
      <c r="E5" s="16">
        <v>2</v>
      </c>
      <c r="F5" s="16">
        <v>2011</v>
      </c>
      <c r="G5" s="17">
        <v>5.28</v>
      </c>
      <c r="H5" s="17"/>
      <c r="I5" s="17"/>
      <c r="J5" s="18"/>
      <c r="K5" s="18"/>
      <c r="L5" s="18"/>
      <c r="AF5" s="30">
        <v>40544</v>
      </c>
      <c r="AG5" s="31">
        <v>31</v>
      </c>
      <c r="AH5" s="32">
        <v>3</v>
      </c>
      <c r="AI5" s="33">
        <f>AG5*AH5</f>
        <v>93</v>
      </c>
      <c r="AJ5" s="34">
        <f t="shared" ref="AJ5:AJ16" si="1">AH5*$K$6</f>
        <v>3.5250000000000004</v>
      </c>
      <c r="AK5" s="35">
        <f>AG5*AJ5</f>
        <v>109.27500000000001</v>
      </c>
      <c r="AL5" s="36">
        <v>31</v>
      </c>
      <c r="AM5" s="37">
        <f>G148</f>
        <v>3.838709677419355</v>
      </c>
      <c r="AN5" s="38">
        <f>AL5*AM5</f>
        <v>119</v>
      </c>
      <c r="AO5" s="39">
        <f>$Z$47</f>
        <v>62.354999999999997</v>
      </c>
      <c r="AP5" s="40">
        <f>AN5*AO5/100</f>
        <v>74.202449999999999</v>
      </c>
      <c r="AR5" s="41" t="s">
        <v>37</v>
      </c>
      <c r="AS5" s="25">
        <v>49804</v>
      </c>
      <c r="AT5" s="25"/>
      <c r="AU5" s="42" t="s">
        <v>30</v>
      </c>
      <c r="AV5" s="42"/>
      <c r="AW5" s="25">
        <v>40673</v>
      </c>
      <c r="AY5" s="43" t="s">
        <v>38</v>
      </c>
      <c r="AZ5" s="44" t="s">
        <v>39</v>
      </c>
      <c r="BA5" s="45" t="s">
        <v>34</v>
      </c>
      <c r="BB5" s="44" t="s">
        <v>35</v>
      </c>
      <c r="BC5" s="44" t="s">
        <v>36</v>
      </c>
      <c r="BD5" s="45">
        <v>30</v>
      </c>
      <c r="BE5" s="46">
        <v>135</v>
      </c>
    </row>
    <row r="6" spans="1:57" x14ac:dyDescent="0.25">
      <c r="A6" s="47">
        <v>40652</v>
      </c>
      <c r="B6" s="2">
        <v>0</v>
      </c>
      <c r="C6" s="14">
        <v>40603</v>
      </c>
      <c r="D6" s="15">
        <f t="shared" si="0"/>
        <v>40603</v>
      </c>
      <c r="E6" s="16">
        <f t="shared" ref="E6:E69" si="2">MONTH(C6)</f>
        <v>3</v>
      </c>
      <c r="F6" s="16">
        <f t="shared" ref="F6:F69" si="3">YEAR(C6)</f>
        <v>2011</v>
      </c>
      <c r="G6" s="17">
        <v>6.65</v>
      </c>
      <c r="H6" s="17"/>
      <c r="I6" s="17"/>
      <c r="J6" s="18">
        <v>1</v>
      </c>
      <c r="K6" s="18">
        <v>1.175</v>
      </c>
      <c r="L6" s="18"/>
      <c r="AF6" s="30">
        <v>40575</v>
      </c>
      <c r="AG6" s="31">
        <v>28</v>
      </c>
      <c r="AH6" s="32">
        <v>4</v>
      </c>
      <c r="AI6" s="33">
        <f t="shared" ref="AI6:AI16" si="4">AG6*AH6</f>
        <v>112</v>
      </c>
      <c r="AJ6" s="34">
        <f t="shared" si="1"/>
        <v>4.7</v>
      </c>
      <c r="AK6" s="35">
        <f t="shared" ref="AK6:AK16" si="5">AG6*AJ6</f>
        <v>131.6</v>
      </c>
      <c r="AL6" s="48">
        <v>28</v>
      </c>
      <c r="AM6" s="49">
        <f>G149</f>
        <v>6.2142857142857144</v>
      </c>
      <c r="AN6" s="50">
        <f t="shared" ref="AN6:AN16" si="6">AL6*AM6</f>
        <v>174</v>
      </c>
      <c r="AO6" s="51">
        <f>$Z$47</f>
        <v>62.354999999999997</v>
      </c>
      <c r="AP6" s="52">
        <f t="shared" ref="AP6:AP16" si="7">AN6*AO6/100</f>
        <v>108.49769999999998</v>
      </c>
      <c r="AR6" s="41" t="s">
        <v>40</v>
      </c>
      <c r="AS6" s="25">
        <v>43537</v>
      </c>
      <c r="AT6" s="25"/>
      <c r="AU6" s="53" t="s">
        <v>37</v>
      </c>
      <c r="AV6" s="53"/>
      <c r="AW6" s="25">
        <v>49804</v>
      </c>
      <c r="AY6" s="43" t="s">
        <v>41</v>
      </c>
      <c r="AZ6" s="44" t="s">
        <v>42</v>
      </c>
      <c r="BA6" s="45" t="s">
        <v>34</v>
      </c>
      <c r="BB6" s="44" t="s">
        <v>35</v>
      </c>
      <c r="BC6" s="44" t="s">
        <v>36</v>
      </c>
      <c r="BD6" s="45">
        <v>30</v>
      </c>
      <c r="BE6" s="46">
        <v>135</v>
      </c>
    </row>
    <row r="7" spans="1:57" x14ac:dyDescent="0.25">
      <c r="A7" s="47">
        <v>40668</v>
      </c>
      <c r="B7" s="2">
        <v>228</v>
      </c>
      <c r="C7" s="14">
        <v>40634</v>
      </c>
      <c r="D7" s="54">
        <f t="shared" si="0"/>
        <v>40634</v>
      </c>
      <c r="E7" s="55">
        <f t="shared" si="2"/>
        <v>4</v>
      </c>
      <c r="F7" s="55">
        <f t="shared" si="3"/>
        <v>2011</v>
      </c>
      <c r="G7" s="56">
        <v>10.26</v>
      </c>
      <c r="H7" s="56"/>
      <c r="I7" s="56"/>
      <c r="J7" s="17"/>
      <c r="K7" s="17"/>
      <c r="L7" s="17"/>
      <c r="M7" s="4"/>
      <c r="N7" s="4"/>
      <c r="O7" s="4"/>
      <c r="AF7" s="30">
        <v>40603</v>
      </c>
      <c r="AG7" s="31">
        <v>31</v>
      </c>
      <c r="AH7" s="32">
        <v>6</v>
      </c>
      <c r="AI7" s="33">
        <f t="shared" si="4"/>
        <v>186</v>
      </c>
      <c r="AJ7" s="34">
        <f t="shared" si="1"/>
        <v>7.0500000000000007</v>
      </c>
      <c r="AK7" s="35">
        <f t="shared" si="5"/>
        <v>218.55</v>
      </c>
      <c r="AL7" s="48">
        <v>31</v>
      </c>
      <c r="AM7" s="49">
        <f>G150</f>
        <v>6.161290322580645</v>
      </c>
      <c r="AN7" s="50">
        <f t="shared" si="6"/>
        <v>191</v>
      </c>
      <c r="AO7" s="51">
        <f>$Z$47</f>
        <v>62.354999999999997</v>
      </c>
      <c r="AP7" s="52">
        <f t="shared" si="7"/>
        <v>119.09805</v>
      </c>
      <c r="AR7" s="41" t="s">
        <v>43</v>
      </c>
      <c r="AS7" s="57">
        <f>(AS5-AS6)/365</f>
        <v>17.169863013698631</v>
      </c>
      <c r="AT7" s="57"/>
      <c r="AU7" s="53" t="s">
        <v>44</v>
      </c>
      <c r="AV7" s="53"/>
      <c r="AW7" s="25">
        <v>43537</v>
      </c>
      <c r="AY7" s="43" t="s">
        <v>45</v>
      </c>
      <c r="AZ7" s="44" t="s">
        <v>46</v>
      </c>
      <c r="BA7" s="45" t="s">
        <v>34</v>
      </c>
      <c r="BB7" s="44" t="s">
        <v>35</v>
      </c>
      <c r="BC7" s="44" t="s">
        <v>36</v>
      </c>
      <c r="BD7" s="45">
        <v>30</v>
      </c>
      <c r="BE7" s="46">
        <v>135</v>
      </c>
    </row>
    <row r="8" spans="1:57" x14ac:dyDescent="0.25">
      <c r="A8" s="47">
        <v>40694</v>
      </c>
      <c r="B8" s="2">
        <v>517</v>
      </c>
      <c r="C8" s="14">
        <v>40664</v>
      </c>
      <c r="D8" s="54">
        <f t="shared" si="0"/>
        <v>40664</v>
      </c>
      <c r="E8" s="55">
        <f t="shared" si="2"/>
        <v>5</v>
      </c>
      <c r="F8" s="55">
        <f t="shared" si="3"/>
        <v>2011</v>
      </c>
      <c r="G8" s="56">
        <f t="shared" ref="G8:G71" si="8">(B8-B7)/(A8-A7)</f>
        <v>11.115384615384615</v>
      </c>
      <c r="H8" s="56"/>
      <c r="I8" s="56"/>
      <c r="J8" s="17"/>
      <c r="K8" s="17"/>
      <c r="L8" s="17"/>
      <c r="AF8" s="30">
        <v>40634</v>
      </c>
      <c r="AG8" s="31">
        <v>30</v>
      </c>
      <c r="AH8" s="32">
        <v>8</v>
      </c>
      <c r="AI8" s="33">
        <f t="shared" si="4"/>
        <v>240</v>
      </c>
      <c r="AJ8" s="34">
        <f t="shared" si="1"/>
        <v>9.4</v>
      </c>
      <c r="AK8" s="35">
        <f t="shared" si="5"/>
        <v>282</v>
      </c>
      <c r="AL8" s="48">
        <v>30</v>
      </c>
      <c r="AM8" s="49">
        <f>G151</f>
        <v>11.033333333333333</v>
      </c>
      <c r="AN8" s="50">
        <f t="shared" si="6"/>
        <v>331</v>
      </c>
      <c r="AO8" s="51">
        <f>$Z$48</f>
        <v>70.709999999999994</v>
      </c>
      <c r="AP8" s="52">
        <f t="shared" si="7"/>
        <v>234.05009999999999</v>
      </c>
      <c r="AR8" s="41" t="s">
        <v>47</v>
      </c>
      <c r="AS8" s="58">
        <v>1180</v>
      </c>
      <c r="AT8" s="58"/>
      <c r="AU8" s="53" t="s">
        <v>48</v>
      </c>
      <c r="AV8" s="53"/>
      <c r="AW8" s="25">
        <v>43545</v>
      </c>
      <c r="AY8" s="43" t="s">
        <v>49</v>
      </c>
      <c r="AZ8" s="44" t="s">
        <v>50</v>
      </c>
      <c r="BA8" s="45" t="s">
        <v>34</v>
      </c>
      <c r="BB8" s="44" t="s">
        <v>35</v>
      </c>
      <c r="BC8" s="44" t="s">
        <v>36</v>
      </c>
      <c r="BD8" s="45">
        <v>30</v>
      </c>
      <c r="BE8" s="46">
        <v>135</v>
      </c>
    </row>
    <row r="9" spans="1:57" ht="30" x14ac:dyDescent="0.25">
      <c r="A9" s="47">
        <v>40716</v>
      </c>
      <c r="B9" s="2">
        <v>737</v>
      </c>
      <c r="C9" s="14">
        <v>40695</v>
      </c>
      <c r="D9" s="54">
        <f t="shared" si="0"/>
        <v>40695</v>
      </c>
      <c r="E9" s="55">
        <f t="shared" si="2"/>
        <v>6</v>
      </c>
      <c r="F9" s="55">
        <f t="shared" si="3"/>
        <v>2011</v>
      </c>
      <c r="G9" s="56">
        <f t="shared" si="8"/>
        <v>10</v>
      </c>
      <c r="H9" s="56"/>
      <c r="I9" s="56"/>
      <c r="J9" s="17"/>
      <c r="K9" s="17"/>
      <c r="L9" s="17"/>
      <c r="AF9" s="30">
        <v>40664</v>
      </c>
      <c r="AG9" s="31">
        <v>31</v>
      </c>
      <c r="AH9" s="32">
        <v>9.5</v>
      </c>
      <c r="AI9" s="33">
        <f t="shared" si="4"/>
        <v>294.5</v>
      </c>
      <c r="AJ9" s="34">
        <f t="shared" si="1"/>
        <v>11.1625</v>
      </c>
      <c r="AK9" s="35">
        <f t="shared" si="5"/>
        <v>346.03749999999997</v>
      </c>
      <c r="AL9" s="48">
        <v>31</v>
      </c>
      <c r="AM9" s="49">
        <f>G140</f>
        <v>12.35483870967742</v>
      </c>
      <c r="AN9" s="50">
        <f t="shared" si="6"/>
        <v>383</v>
      </c>
      <c r="AO9" s="51">
        <f t="shared" ref="AO9:AO16" si="9">$Z$48</f>
        <v>70.709999999999994</v>
      </c>
      <c r="AP9" s="52">
        <f t="shared" si="7"/>
        <v>270.81929999999994</v>
      </c>
      <c r="AR9" s="41" t="s">
        <v>51</v>
      </c>
      <c r="AS9" s="59">
        <v>0.16500000000000001</v>
      </c>
      <c r="AT9" s="59"/>
      <c r="AY9" s="43" t="s">
        <v>52</v>
      </c>
      <c r="AZ9" s="44" t="s">
        <v>53</v>
      </c>
      <c r="BA9" s="45" t="s">
        <v>34</v>
      </c>
      <c r="BB9" s="44" t="s">
        <v>35</v>
      </c>
      <c r="BC9" s="44" t="s">
        <v>36</v>
      </c>
      <c r="BD9" s="45">
        <v>30</v>
      </c>
      <c r="BE9" s="46">
        <v>135</v>
      </c>
    </row>
    <row r="10" spans="1:57" ht="30" x14ac:dyDescent="0.25">
      <c r="A10" s="47">
        <v>40762</v>
      </c>
      <c r="B10" s="2">
        <v>1191</v>
      </c>
      <c r="C10" s="14">
        <v>40725</v>
      </c>
      <c r="D10" s="54">
        <f t="shared" si="0"/>
        <v>40725</v>
      </c>
      <c r="E10" s="55">
        <f t="shared" si="2"/>
        <v>7</v>
      </c>
      <c r="F10" s="55">
        <f t="shared" si="3"/>
        <v>2011</v>
      </c>
      <c r="G10" s="56">
        <f t="shared" si="8"/>
        <v>9.8695652173913047</v>
      </c>
      <c r="H10" s="56"/>
      <c r="I10" s="56"/>
      <c r="J10" s="17"/>
      <c r="K10" s="17"/>
      <c r="L10" s="17"/>
      <c r="AF10" s="30">
        <v>40695</v>
      </c>
      <c r="AG10" s="31">
        <v>30</v>
      </c>
      <c r="AH10" s="32">
        <v>10.5</v>
      </c>
      <c r="AI10" s="33">
        <f t="shared" si="4"/>
        <v>315</v>
      </c>
      <c r="AJ10" s="34">
        <f t="shared" si="1"/>
        <v>12.3375</v>
      </c>
      <c r="AK10" s="35">
        <f t="shared" si="5"/>
        <v>370.125</v>
      </c>
      <c r="AL10" s="48">
        <v>30</v>
      </c>
      <c r="AM10" s="49">
        <f>G141</f>
        <v>12.633333333333333</v>
      </c>
      <c r="AN10" s="50">
        <f t="shared" si="6"/>
        <v>379</v>
      </c>
      <c r="AO10" s="51">
        <f t="shared" si="9"/>
        <v>70.709999999999994</v>
      </c>
      <c r="AP10" s="52">
        <f t="shared" si="7"/>
        <v>267.99089999999995</v>
      </c>
      <c r="AR10" s="24" t="str">
        <f>"Additional Income over "&amp;TEXT(AS7,"0.00")&amp;" Years"</f>
        <v>Additional Income over 17.17 Years</v>
      </c>
      <c r="AS10" s="58">
        <f>AS8*AS9*AS7</f>
        <v>3342.9723287671236</v>
      </c>
      <c r="AT10" s="58"/>
      <c r="AY10" s="43" t="s">
        <v>54</v>
      </c>
      <c r="AZ10" s="44" t="s">
        <v>55</v>
      </c>
      <c r="BA10" s="45" t="s">
        <v>34</v>
      </c>
      <c r="BB10" s="44" t="s">
        <v>35</v>
      </c>
      <c r="BC10" s="44" t="s">
        <v>36</v>
      </c>
      <c r="BD10" s="45">
        <v>30</v>
      </c>
      <c r="BE10" s="46">
        <v>135</v>
      </c>
    </row>
    <row r="11" spans="1:57" ht="30.75" thickBot="1" x14ac:dyDescent="0.3">
      <c r="A11" s="47">
        <v>40786</v>
      </c>
      <c r="B11" s="2">
        <v>1388</v>
      </c>
      <c r="C11" s="14">
        <v>40756</v>
      </c>
      <c r="D11" s="54">
        <f t="shared" si="0"/>
        <v>40756</v>
      </c>
      <c r="E11" s="55">
        <f t="shared" si="2"/>
        <v>8</v>
      </c>
      <c r="F11" s="55">
        <f t="shared" si="3"/>
        <v>2011</v>
      </c>
      <c r="G11" s="56">
        <f t="shared" si="8"/>
        <v>8.2083333333333339</v>
      </c>
      <c r="H11" s="56"/>
      <c r="I11" s="56"/>
      <c r="J11" s="17"/>
      <c r="K11" s="17"/>
      <c r="L11" s="17"/>
      <c r="AF11" s="30">
        <v>40725</v>
      </c>
      <c r="AG11" s="31">
        <v>31</v>
      </c>
      <c r="AH11" s="32">
        <v>10.5</v>
      </c>
      <c r="AI11" s="33">
        <f t="shared" si="4"/>
        <v>325.5</v>
      </c>
      <c r="AJ11" s="34">
        <f t="shared" si="1"/>
        <v>12.3375</v>
      </c>
      <c r="AK11" s="35">
        <f t="shared" si="5"/>
        <v>382.46250000000003</v>
      </c>
      <c r="AL11" s="48">
        <v>31</v>
      </c>
      <c r="AM11" s="49">
        <f>G142</f>
        <v>12.741935483870968</v>
      </c>
      <c r="AN11" s="50">
        <f t="shared" si="6"/>
        <v>395</v>
      </c>
      <c r="AO11" s="51">
        <f t="shared" si="9"/>
        <v>70.709999999999994</v>
      </c>
      <c r="AP11" s="52">
        <f t="shared" si="7"/>
        <v>279.30449999999996</v>
      </c>
      <c r="AR11" s="24" t="s">
        <v>56</v>
      </c>
      <c r="AS11" s="58">
        <v>-3260</v>
      </c>
      <c r="AT11" s="58"/>
      <c r="AY11" s="60" t="s">
        <v>57</v>
      </c>
      <c r="AZ11" s="61" t="s">
        <v>58</v>
      </c>
      <c r="BA11" s="62" t="s">
        <v>34</v>
      </c>
      <c r="BB11" s="61" t="s">
        <v>35</v>
      </c>
      <c r="BC11" s="61" t="s">
        <v>36</v>
      </c>
      <c r="BD11" s="62">
        <v>30</v>
      </c>
      <c r="BE11" s="63">
        <v>135</v>
      </c>
    </row>
    <row r="12" spans="1:57" ht="45.75" thickBot="1" x14ac:dyDescent="0.3">
      <c r="A12" s="47">
        <v>40816</v>
      </c>
      <c r="B12" s="2">
        <v>1662</v>
      </c>
      <c r="C12" s="14">
        <v>40787</v>
      </c>
      <c r="D12" s="54">
        <f t="shared" si="0"/>
        <v>40787</v>
      </c>
      <c r="E12" s="55">
        <f t="shared" si="2"/>
        <v>9</v>
      </c>
      <c r="F12" s="55">
        <f t="shared" si="3"/>
        <v>2011</v>
      </c>
      <c r="G12" s="56">
        <f t="shared" si="8"/>
        <v>9.1333333333333329</v>
      </c>
      <c r="H12" s="56"/>
      <c r="I12" s="56"/>
      <c r="J12" s="4" t="s">
        <v>9</v>
      </c>
      <c r="K12" s="4" t="s">
        <v>10</v>
      </c>
      <c r="L12" s="4" t="s">
        <v>11</v>
      </c>
      <c r="M12" s="4" t="s">
        <v>59</v>
      </c>
      <c r="N12" s="4" t="s">
        <v>60</v>
      </c>
      <c r="AF12" s="30">
        <v>40756</v>
      </c>
      <c r="AG12" s="31">
        <v>31</v>
      </c>
      <c r="AH12" s="32">
        <v>9.5</v>
      </c>
      <c r="AI12" s="33">
        <f t="shared" si="4"/>
        <v>294.5</v>
      </c>
      <c r="AJ12" s="34">
        <f t="shared" si="1"/>
        <v>11.1625</v>
      </c>
      <c r="AK12" s="35">
        <f t="shared" si="5"/>
        <v>346.03749999999997</v>
      </c>
      <c r="AL12" s="48">
        <v>31</v>
      </c>
      <c r="AM12" s="49">
        <f>G131</f>
        <v>9.7096774193548381</v>
      </c>
      <c r="AN12" s="50">
        <f t="shared" si="6"/>
        <v>301</v>
      </c>
      <c r="AO12" s="51">
        <f t="shared" si="9"/>
        <v>70.709999999999994</v>
      </c>
      <c r="AP12" s="52">
        <f t="shared" si="7"/>
        <v>212.83709999999999</v>
      </c>
      <c r="AR12" s="24"/>
      <c r="BD12" s="1"/>
    </row>
    <row r="13" spans="1:57" x14ac:dyDescent="0.25">
      <c r="A13" s="47">
        <v>40847</v>
      </c>
      <c r="B13" s="2">
        <v>1892</v>
      </c>
      <c r="C13" s="14">
        <v>40817</v>
      </c>
      <c r="D13" s="54">
        <f t="shared" si="0"/>
        <v>40817</v>
      </c>
      <c r="E13" s="55">
        <f t="shared" si="2"/>
        <v>10</v>
      </c>
      <c r="F13" s="55">
        <f t="shared" si="3"/>
        <v>2011</v>
      </c>
      <c r="G13" s="56">
        <f t="shared" si="8"/>
        <v>7.419354838709677</v>
      </c>
      <c r="H13" s="56"/>
      <c r="I13" s="56"/>
      <c r="J13" s="17"/>
      <c r="K13" s="17"/>
      <c r="L13" s="17"/>
      <c r="AF13" s="30">
        <v>40787</v>
      </c>
      <c r="AG13" s="31">
        <v>30</v>
      </c>
      <c r="AH13" s="32">
        <v>8</v>
      </c>
      <c r="AI13" s="33">
        <f t="shared" si="4"/>
        <v>240</v>
      </c>
      <c r="AJ13" s="34">
        <f t="shared" si="1"/>
        <v>9.4</v>
      </c>
      <c r="AK13" s="35">
        <f t="shared" si="5"/>
        <v>282</v>
      </c>
      <c r="AL13" s="48">
        <v>30</v>
      </c>
      <c r="AM13" s="49">
        <f>G132</f>
        <v>9.3000000000000007</v>
      </c>
      <c r="AN13" s="50">
        <f t="shared" si="6"/>
        <v>279</v>
      </c>
      <c r="AO13" s="51">
        <f t="shared" si="9"/>
        <v>70.709999999999994</v>
      </c>
      <c r="AP13" s="52">
        <f t="shared" si="7"/>
        <v>197.28089999999997</v>
      </c>
      <c r="AR13" s="24" t="s">
        <v>61</v>
      </c>
      <c r="AS13" s="58">
        <f>AS10+AS11</f>
        <v>82.972328767123599</v>
      </c>
      <c r="AT13" s="58"/>
      <c r="AY13" s="26" t="s">
        <v>62</v>
      </c>
      <c r="AZ13" s="27" t="s">
        <v>63</v>
      </c>
      <c r="BA13" s="28" t="s">
        <v>34</v>
      </c>
      <c r="BB13" s="27" t="s">
        <v>35</v>
      </c>
      <c r="BC13" s="27" t="s">
        <v>64</v>
      </c>
      <c r="BD13" s="28">
        <v>30</v>
      </c>
      <c r="BE13" s="29">
        <v>225</v>
      </c>
    </row>
    <row r="14" spans="1:57" x14ac:dyDescent="0.25">
      <c r="A14" s="47">
        <v>40877</v>
      </c>
      <c r="B14" s="2">
        <v>1983</v>
      </c>
      <c r="C14" s="14">
        <v>40848</v>
      </c>
      <c r="D14" s="54">
        <f t="shared" si="0"/>
        <v>40848</v>
      </c>
      <c r="E14" s="55">
        <f t="shared" si="2"/>
        <v>11</v>
      </c>
      <c r="F14" s="55">
        <f t="shared" si="3"/>
        <v>2011</v>
      </c>
      <c r="G14" s="56">
        <f t="shared" si="8"/>
        <v>3.0333333333333332</v>
      </c>
      <c r="H14" s="56"/>
      <c r="I14" s="56"/>
      <c r="J14" s="17"/>
      <c r="K14" s="17"/>
      <c r="L14" s="17"/>
      <c r="AF14" s="30">
        <v>40817</v>
      </c>
      <c r="AG14" s="31">
        <v>31</v>
      </c>
      <c r="AH14" s="32">
        <v>6</v>
      </c>
      <c r="AI14" s="33">
        <f t="shared" si="4"/>
        <v>186</v>
      </c>
      <c r="AJ14" s="34">
        <f t="shared" si="1"/>
        <v>7.0500000000000007</v>
      </c>
      <c r="AK14" s="35">
        <f t="shared" si="5"/>
        <v>218.55</v>
      </c>
      <c r="AL14" s="48">
        <v>31</v>
      </c>
      <c r="AM14" s="49">
        <f>G133</f>
        <v>6.612903225806452</v>
      </c>
      <c r="AN14" s="50">
        <f>AL14*AM14</f>
        <v>205</v>
      </c>
      <c r="AO14" s="51">
        <f t="shared" si="9"/>
        <v>70.709999999999994</v>
      </c>
      <c r="AP14" s="52">
        <f t="shared" si="7"/>
        <v>144.9555</v>
      </c>
      <c r="AR14" s="24"/>
      <c r="AY14" s="43" t="s">
        <v>65</v>
      </c>
      <c r="AZ14" s="44" t="s">
        <v>66</v>
      </c>
      <c r="BA14" s="45" t="s">
        <v>34</v>
      </c>
      <c r="BB14" s="44" t="s">
        <v>35</v>
      </c>
      <c r="BC14" s="44" t="s">
        <v>64</v>
      </c>
      <c r="BD14" s="45">
        <v>30</v>
      </c>
      <c r="BE14" s="46">
        <v>225</v>
      </c>
    </row>
    <row r="15" spans="1:57" ht="15.75" thickBot="1" x14ac:dyDescent="0.3">
      <c r="A15" s="47">
        <v>40908</v>
      </c>
      <c r="B15" s="2">
        <v>2071</v>
      </c>
      <c r="C15" s="14">
        <v>40878</v>
      </c>
      <c r="D15" s="54">
        <f t="shared" si="0"/>
        <v>40878</v>
      </c>
      <c r="E15" s="55">
        <f t="shared" si="2"/>
        <v>12</v>
      </c>
      <c r="F15" s="55">
        <f t="shared" si="3"/>
        <v>2011</v>
      </c>
      <c r="G15" s="56">
        <f t="shared" si="8"/>
        <v>2.838709677419355</v>
      </c>
      <c r="H15" s="56"/>
      <c r="I15" s="56"/>
      <c r="J15" s="17"/>
      <c r="K15" s="17" t="s">
        <v>67</v>
      </c>
      <c r="M15" s="64">
        <v>164</v>
      </c>
      <c r="AF15" s="30">
        <v>40848</v>
      </c>
      <c r="AG15" s="31">
        <v>30</v>
      </c>
      <c r="AH15" s="32">
        <v>4</v>
      </c>
      <c r="AI15" s="33">
        <f t="shared" si="4"/>
        <v>120</v>
      </c>
      <c r="AJ15" s="34">
        <f t="shared" si="1"/>
        <v>4.7</v>
      </c>
      <c r="AK15" s="35">
        <f t="shared" si="5"/>
        <v>141</v>
      </c>
      <c r="AL15" s="48">
        <v>30</v>
      </c>
      <c r="AM15" s="49">
        <f>G134</f>
        <v>4.3</v>
      </c>
      <c r="AN15" s="50">
        <f t="shared" si="6"/>
        <v>129</v>
      </c>
      <c r="AO15" s="51">
        <f t="shared" si="9"/>
        <v>70.709999999999994</v>
      </c>
      <c r="AP15" s="52">
        <f t="shared" si="7"/>
        <v>91.215899999999976</v>
      </c>
      <c r="AR15" s="24"/>
      <c r="AY15" s="43" t="s">
        <v>68</v>
      </c>
      <c r="AZ15" s="44" t="s">
        <v>69</v>
      </c>
      <c r="BA15" s="45" t="s">
        <v>34</v>
      </c>
      <c r="BB15" s="44" t="s">
        <v>35</v>
      </c>
      <c r="BC15" s="44" t="s">
        <v>64</v>
      </c>
      <c r="BD15" s="45">
        <v>30</v>
      </c>
      <c r="BE15" s="46">
        <v>225</v>
      </c>
    </row>
    <row r="16" spans="1:57" ht="15.75" thickBot="1" x14ac:dyDescent="0.3">
      <c r="A16" s="47">
        <v>40940</v>
      </c>
      <c r="B16" s="2">
        <v>2143</v>
      </c>
      <c r="C16" s="14">
        <v>40909</v>
      </c>
      <c r="D16" s="54">
        <f t="shared" si="0"/>
        <v>40909</v>
      </c>
      <c r="E16" s="55">
        <f t="shared" si="2"/>
        <v>1</v>
      </c>
      <c r="F16" s="55">
        <f t="shared" si="3"/>
        <v>2012</v>
      </c>
      <c r="G16" s="56">
        <f t="shared" si="8"/>
        <v>2.25</v>
      </c>
      <c r="H16" s="56"/>
      <c r="I16" s="56"/>
      <c r="J16" s="65">
        <v>3</v>
      </c>
      <c r="K16" s="66">
        <f t="shared" ref="K16:K27" si="10">J16*$K$6</f>
        <v>3.5250000000000004</v>
      </c>
      <c r="L16" s="67">
        <f>AVERAGEIF($E$7:$E$101,1,$G$7:$G$101)</f>
        <v>2.757056451612903</v>
      </c>
      <c r="M16" s="68">
        <f>AVERAGEIF($E$102:$E$164,E16,$G$102:$G$164)</f>
        <v>3.4774193548387098</v>
      </c>
      <c r="N16" s="68">
        <f>M16*31</f>
        <v>107.8</v>
      </c>
      <c r="O16" s="4"/>
      <c r="AF16" s="30">
        <v>40878</v>
      </c>
      <c r="AG16" s="31">
        <v>31</v>
      </c>
      <c r="AH16" s="32">
        <v>3</v>
      </c>
      <c r="AI16" s="33">
        <f t="shared" si="4"/>
        <v>93</v>
      </c>
      <c r="AJ16" s="34">
        <f t="shared" si="1"/>
        <v>3.5250000000000004</v>
      </c>
      <c r="AK16" s="35">
        <f t="shared" si="5"/>
        <v>109.27500000000001</v>
      </c>
      <c r="AL16" s="69">
        <v>31</v>
      </c>
      <c r="AM16" s="70">
        <f>G135</f>
        <v>1.5161290322580645</v>
      </c>
      <c r="AN16" s="71">
        <f t="shared" si="6"/>
        <v>47</v>
      </c>
      <c r="AO16" s="72">
        <f t="shared" si="9"/>
        <v>70.709999999999994</v>
      </c>
      <c r="AP16" s="73">
        <f t="shared" si="7"/>
        <v>33.233699999999999</v>
      </c>
      <c r="AR16" s="24"/>
      <c r="AY16" s="43" t="s">
        <v>70</v>
      </c>
      <c r="AZ16" s="44" t="s">
        <v>71</v>
      </c>
      <c r="BA16" s="45" t="s">
        <v>34</v>
      </c>
      <c r="BB16" s="44" t="s">
        <v>35</v>
      </c>
      <c r="BC16" s="44" t="s">
        <v>64</v>
      </c>
      <c r="BD16" s="45">
        <v>30</v>
      </c>
      <c r="BE16" s="46">
        <v>225</v>
      </c>
    </row>
    <row r="17" spans="1:59" ht="15.75" thickBot="1" x14ac:dyDescent="0.3">
      <c r="A17" s="47">
        <v>40968</v>
      </c>
      <c r="B17" s="2">
        <v>2343</v>
      </c>
      <c r="C17" s="14">
        <v>40940</v>
      </c>
      <c r="D17" s="54">
        <f t="shared" si="0"/>
        <v>40940</v>
      </c>
      <c r="E17" s="55">
        <f t="shared" si="2"/>
        <v>2</v>
      </c>
      <c r="F17" s="55">
        <f t="shared" si="3"/>
        <v>2012</v>
      </c>
      <c r="G17" s="56">
        <f t="shared" si="8"/>
        <v>7.1428571428571432</v>
      </c>
      <c r="H17" s="56"/>
      <c r="I17" s="56"/>
      <c r="J17" s="74">
        <v>4</v>
      </c>
      <c r="K17" s="75">
        <f t="shared" si="10"/>
        <v>4.7</v>
      </c>
      <c r="L17" s="76">
        <f>AVERAGEIF($E$7:$E$101,2,$G$7:$G$101)</f>
        <v>5.2832512315270934</v>
      </c>
      <c r="M17" s="77">
        <f t="shared" ref="M17:M27" si="11">AVERAGEIF($E$102:$E$164,E17,$G$102:$G$164)</f>
        <v>5.3738916256157641</v>
      </c>
      <c r="N17" s="77">
        <f t="shared" ref="N17:N27" si="12">M17*31</f>
        <v>166.59064039408869</v>
      </c>
      <c r="AI17" s="78"/>
      <c r="AN17" s="78"/>
      <c r="AR17" s="79" t="s">
        <v>72</v>
      </c>
      <c r="AS17" s="79"/>
      <c r="AT17" s="79"/>
      <c r="AU17" s="79"/>
      <c r="AV17" s="79"/>
      <c r="AY17" s="43" t="s">
        <v>73</v>
      </c>
      <c r="AZ17" s="44" t="s">
        <v>74</v>
      </c>
      <c r="BA17" s="45" t="s">
        <v>34</v>
      </c>
      <c r="BB17" s="44" t="s">
        <v>35</v>
      </c>
      <c r="BC17" s="44" t="s">
        <v>64</v>
      </c>
      <c r="BD17" s="45">
        <v>30</v>
      </c>
      <c r="BE17" s="46">
        <v>225</v>
      </c>
    </row>
    <row r="18" spans="1:59" ht="15.75" thickBot="1" x14ac:dyDescent="0.3">
      <c r="A18" s="47">
        <v>40999</v>
      </c>
      <c r="B18" s="2">
        <v>2630</v>
      </c>
      <c r="C18" s="14">
        <v>40969</v>
      </c>
      <c r="D18" s="54">
        <f t="shared" si="0"/>
        <v>40969</v>
      </c>
      <c r="E18" s="55">
        <f t="shared" si="2"/>
        <v>3</v>
      </c>
      <c r="F18" s="55">
        <f t="shared" si="3"/>
        <v>2012</v>
      </c>
      <c r="G18" s="56">
        <f t="shared" si="8"/>
        <v>9.258064516129032</v>
      </c>
      <c r="H18" s="56"/>
      <c r="I18" s="56"/>
      <c r="J18" s="74">
        <v>6</v>
      </c>
      <c r="K18" s="75">
        <f t="shared" si="10"/>
        <v>7.0500000000000007</v>
      </c>
      <c r="L18" s="76">
        <f>AVERAGEIF($E$7:$E$101,3,$G$7:$G$101)</f>
        <v>7.4147465437788016</v>
      </c>
      <c r="M18" s="77">
        <f t="shared" si="11"/>
        <v>8.2473118279569899</v>
      </c>
      <c r="N18" s="77">
        <f>M18*28</f>
        <v>230.92473118279571</v>
      </c>
      <c r="AF18" s="80" t="s">
        <v>75</v>
      </c>
      <c r="AG18" s="80"/>
      <c r="AH18" s="80"/>
      <c r="AI18" s="81">
        <f>SUM(AI5:AI16)</f>
        <v>2499.5</v>
      </c>
      <c r="AJ18" s="58">
        <f>(AH23+(AH24/2))/100</f>
        <v>0.44849999999999995</v>
      </c>
      <c r="AK18" s="82">
        <f>SUM(AK5:AK16)</f>
        <v>2936.9125000000004</v>
      </c>
      <c r="AN18" s="83">
        <f>SUM(AN5:AN16)</f>
        <v>2933</v>
      </c>
      <c r="AO18" s="58">
        <f>(AK23+(AK24/2))/100</f>
        <v>0.62354999999999994</v>
      </c>
      <c r="AP18" s="84">
        <f>SUM(AP5:AP16)</f>
        <v>2033.4860999999996</v>
      </c>
      <c r="AR18" s="85" t="s">
        <v>76</v>
      </c>
      <c r="AS18" s="86" t="s">
        <v>77</v>
      </c>
      <c r="AT18" s="86" t="s">
        <v>78</v>
      </c>
      <c r="AU18" s="86" t="s">
        <v>79</v>
      </c>
      <c r="AV18" s="87" t="s">
        <v>80</v>
      </c>
      <c r="AY18" s="43" t="s">
        <v>81</v>
      </c>
      <c r="AZ18" s="44" t="s">
        <v>82</v>
      </c>
      <c r="BA18" s="45" t="s">
        <v>34</v>
      </c>
      <c r="BB18" s="44" t="s">
        <v>35</v>
      </c>
      <c r="BC18" s="44" t="s">
        <v>64</v>
      </c>
      <c r="BD18" s="45">
        <v>30</v>
      </c>
      <c r="BE18" s="46">
        <v>225</v>
      </c>
    </row>
    <row r="19" spans="1:59" ht="30" x14ac:dyDescent="0.25">
      <c r="A19" s="47">
        <v>41029</v>
      </c>
      <c r="B19" s="2">
        <v>2918</v>
      </c>
      <c r="C19" s="14">
        <v>41000</v>
      </c>
      <c r="D19" s="54">
        <f t="shared" si="0"/>
        <v>41000</v>
      </c>
      <c r="E19" s="55">
        <f t="shared" si="2"/>
        <v>4</v>
      </c>
      <c r="F19" s="55">
        <f t="shared" si="3"/>
        <v>2012</v>
      </c>
      <c r="G19" s="56">
        <f t="shared" si="8"/>
        <v>9.6</v>
      </c>
      <c r="H19" s="56"/>
      <c r="I19" s="56"/>
      <c r="J19" s="74">
        <v>8</v>
      </c>
      <c r="K19" s="75">
        <f t="shared" si="10"/>
        <v>9.4</v>
      </c>
      <c r="L19" s="76">
        <f>AVERAGEIF($E$7:$E$101,4,$G$7:$G$101)</f>
        <v>9.7658333333333331</v>
      </c>
      <c r="M19" s="77">
        <f t="shared" si="11"/>
        <v>12.322222222222223</v>
      </c>
      <c r="N19" s="77">
        <f>M19*30</f>
        <v>369.66666666666669</v>
      </c>
      <c r="AJ19" s="58">
        <f>AI18*AJ18</f>
        <v>1121.0257499999998</v>
      </c>
      <c r="AK19" s="58">
        <f>AJ18*AK18</f>
        <v>1317.20525625</v>
      </c>
      <c r="AR19" s="36" t="s">
        <v>83</v>
      </c>
      <c r="AS19" s="88" t="s">
        <v>84</v>
      </c>
      <c r="AT19" s="89">
        <v>1</v>
      </c>
      <c r="AU19" s="90">
        <v>848.57</v>
      </c>
      <c r="AV19" s="91">
        <f t="shared" ref="AV19:AV26" si="13">AT19*AU19</f>
        <v>848.57</v>
      </c>
      <c r="AY19" s="43" t="s">
        <v>85</v>
      </c>
      <c r="AZ19" s="44" t="s">
        <v>86</v>
      </c>
      <c r="BA19" s="45" t="s">
        <v>34</v>
      </c>
      <c r="BB19" s="44" t="s">
        <v>35</v>
      </c>
      <c r="BC19" s="44" t="s">
        <v>64</v>
      </c>
      <c r="BD19" s="45">
        <v>30</v>
      </c>
      <c r="BE19" s="46">
        <v>225</v>
      </c>
    </row>
    <row r="20" spans="1:59" ht="30.75" thickBot="1" x14ac:dyDescent="0.3">
      <c r="A20" s="47">
        <v>41060</v>
      </c>
      <c r="B20" s="2">
        <v>3218</v>
      </c>
      <c r="C20" s="14">
        <v>41030</v>
      </c>
      <c r="D20" s="54">
        <f t="shared" si="0"/>
        <v>41030</v>
      </c>
      <c r="E20" s="55">
        <f t="shared" si="2"/>
        <v>5</v>
      </c>
      <c r="F20" s="55">
        <f t="shared" si="3"/>
        <v>2012</v>
      </c>
      <c r="G20" s="56">
        <f t="shared" si="8"/>
        <v>9.67741935483871</v>
      </c>
      <c r="H20" s="56"/>
      <c r="I20" s="56"/>
      <c r="J20" s="74">
        <v>9.5</v>
      </c>
      <c r="K20" s="75">
        <f t="shared" si="10"/>
        <v>11.1625</v>
      </c>
      <c r="L20" s="76">
        <f>AVERAGEIF($E$7:$E$101,5,$G$7:$G$101)</f>
        <v>9.7321650124069468</v>
      </c>
      <c r="M20" s="77">
        <f t="shared" si="11"/>
        <v>12.553763440860216</v>
      </c>
      <c r="N20" s="77">
        <f t="shared" si="12"/>
        <v>389.16666666666669</v>
      </c>
      <c r="AM20" s="92" t="s">
        <v>87</v>
      </c>
      <c r="AR20" s="48" t="s">
        <v>88</v>
      </c>
      <c r="AS20" s="93" t="s">
        <v>89</v>
      </c>
      <c r="AT20" s="45">
        <v>16</v>
      </c>
      <c r="AU20" s="94">
        <v>42.51</v>
      </c>
      <c r="AV20" s="95">
        <f t="shared" si="13"/>
        <v>680.16</v>
      </c>
      <c r="AY20" s="60" t="s">
        <v>90</v>
      </c>
      <c r="AZ20" s="61" t="s">
        <v>91</v>
      </c>
      <c r="BA20" s="62" t="s">
        <v>34</v>
      </c>
      <c r="BB20" s="61" t="s">
        <v>35</v>
      </c>
      <c r="BC20" s="61" t="s">
        <v>64</v>
      </c>
      <c r="BD20" s="62">
        <v>30</v>
      </c>
      <c r="BE20" s="63">
        <v>225</v>
      </c>
    </row>
    <row r="21" spans="1:59" ht="15.75" thickBot="1" x14ac:dyDescent="0.3">
      <c r="A21" s="47">
        <v>41090</v>
      </c>
      <c r="B21" s="2">
        <v>3483</v>
      </c>
      <c r="C21" s="14">
        <v>41061</v>
      </c>
      <c r="D21" s="54">
        <f t="shared" si="0"/>
        <v>41061</v>
      </c>
      <c r="E21" s="55">
        <f t="shared" si="2"/>
        <v>6</v>
      </c>
      <c r="F21" s="55">
        <f t="shared" si="3"/>
        <v>2012</v>
      </c>
      <c r="G21" s="56">
        <f t="shared" si="8"/>
        <v>8.8333333333333339</v>
      </c>
      <c r="H21" s="56"/>
      <c r="I21" s="56"/>
      <c r="J21" s="74">
        <v>10.5</v>
      </c>
      <c r="K21" s="75">
        <f t="shared" si="10"/>
        <v>12.3375</v>
      </c>
      <c r="L21" s="76">
        <f>AVERAGEIF($E$7:$E$101,6,$G$7:$G$101)</f>
        <v>9.0458333333333343</v>
      </c>
      <c r="M21" s="77">
        <f t="shared" si="11"/>
        <v>12.046666666666667</v>
      </c>
      <c r="N21" s="77">
        <f>M21*30</f>
        <v>361.4</v>
      </c>
      <c r="AH21" s="96" t="s">
        <v>92</v>
      </c>
      <c r="AI21" s="96"/>
      <c r="AK21" s="97" t="s">
        <v>93</v>
      </c>
      <c r="AR21" s="48" t="s">
        <v>94</v>
      </c>
      <c r="AS21" s="93" t="s">
        <v>95</v>
      </c>
      <c r="AT21" s="45">
        <v>1</v>
      </c>
      <c r="AU21" s="94">
        <v>48.6</v>
      </c>
      <c r="AV21" s="95">
        <f t="shared" si="13"/>
        <v>48.6</v>
      </c>
    </row>
    <row r="22" spans="1:59" ht="45.75" thickBot="1" x14ac:dyDescent="0.3">
      <c r="A22" s="47">
        <v>41121</v>
      </c>
      <c r="B22" s="2">
        <v>3760</v>
      </c>
      <c r="C22" s="14">
        <v>41091</v>
      </c>
      <c r="D22" s="54">
        <f t="shared" si="0"/>
        <v>41091</v>
      </c>
      <c r="E22" s="55">
        <f t="shared" si="2"/>
        <v>7</v>
      </c>
      <c r="F22" s="55">
        <f t="shared" si="3"/>
        <v>2012</v>
      </c>
      <c r="G22" s="56">
        <f t="shared" si="8"/>
        <v>8.935483870967742</v>
      </c>
      <c r="H22" s="56"/>
      <c r="I22" s="56"/>
      <c r="J22" s="74">
        <v>10.5</v>
      </c>
      <c r="K22" s="75">
        <f t="shared" si="10"/>
        <v>12.3375</v>
      </c>
      <c r="L22" s="76">
        <f>AVERAGEIF($E$7:$E$101,7,$G$7:$G$101)</f>
        <v>8.628856942496494</v>
      </c>
      <c r="M22" s="77">
        <f t="shared" si="11"/>
        <v>11.193548387096774</v>
      </c>
      <c r="N22" s="77">
        <f t="shared" si="12"/>
        <v>347</v>
      </c>
      <c r="AG22" s="97"/>
      <c r="AH22" s="98">
        <v>40634</v>
      </c>
      <c r="AI22" s="98"/>
      <c r="AK22" s="99">
        <v>44652</v>
      </c>
      <c r="AR22" s="100" t="s">
        <v>96</v>
      </c>
      <c r="AS22" s="93" t="s">
        <v>97</v>
      </c>
      <c r="AT22" s="45">
        <v>4</v>
      </c>
      <c r="AU22" s="94">
        <v>3.67</v>
      </c>
      <c r="AV22" s="95">
        <f t="shared" si="13"/>
        <v>14.68</v>
      </c>
      <c r="AY22" s="96" t="s">
        <v>98</v>
      </c>
      <c r="AZ22" s="96"/>
      <c r="BA22" s="96"/>
      <c r="BB22" s="96"/>
      <c r="BC22" s="96"/>
      <c r="BD22" s="96"/>
      <c r="BE22" s="96"/>
      <c r="BF22" s="96"/>
      <c r="BG22" s="96"/>
    </row>
    <row r="23" spans="1:59" ht="15.75" thickBot="1" x14ac:dyDescent="0.3">
      <c r="A23" s="47">
        <v>41152</v>
      </c>
      <c r="B23" s="2">
        <v>4041</v>
      </c>
      <c r="C23" s="14">
        <v>41122</v>
      </c>
      <c r="D23" s="54">
        <f t="shared" si="0"/>
        <v>41122</v>
      </c>
      <c r="E23" s="55">
        <f t="shared" si="2"/>
        <v>8</v>
      </c>
      <c r="F23" s="55">
        <f t="shared" si="3"/>
        <v>2012</v>
      </c>
      <c r="G23" s="56">
        <f t="shared" si="8"/>
        <v>9.064516129032258</v>
      </c>
      <c r="H23" s="56"/>
      <c r="I23" s="56"/>
      <c r="J23" s="74">
        <v>9.5</v>
      </c>
      <c r="K23" s="75">
        <f t="shared" si="10"/>
        <v>11.1625</v>
      </c>
      <c r="L23" s="76">
        <f>AVERAGEIF($E$7:$E$101,8,$G$7:$G$101)</f>
        <v>8.1752352150537622</v>
      </c>
      <c r="M23" s="77">
        <f t="shared" si="11"/>
        <v>10.845161290322581</v>
      </c>
      <c r="N23" s="77">
        <f t="shared" si="12"/>
        <v>336.2</v>
      </c>
      <c r="AF23" s="2" t="s">
        <v>99</v>
      </c>
      <c r="AH23" s="101">
        <v>43.3</v>
      </c>
      <c r="AK23" s="102">
        <v>60.23</v>
      </c>
      <c r="AR23" s="48" t="s">
        <v>100</v>
      </c>
      <c r="AS23" s="44"/>
      <c r="AT23" s="45">
        <v>1</v>
      </c>
      <c r="AU23" s="94">
        <v>50</v>
      </c>
      <c r="AV23" s="95">
        <f t="shared" si="13"/>
        <v>50</v>
      </c>
      <c r="AY23" s="103" t="s">
        <v>101</v>
      </c>
      <c r="AZ23" s="85" t="s">
        <v>102</v>
      </c>
      <c r="BA23" s="86" t="s">
        <v>103</v>
      </c>
      <c r="BB23" s="104" t="s">
        <v>104</v>
      </c>
      <c r="BC23" s="103" t="s">
        <v>105</v>
      </c>
      <c r="BD23" s="105"/>
      <c r="BE23" s="86" t="s">
        <v>24</v>
      </c>
      <c r="BF23" s="86" t="s">
        <v>25</v>
      </c>
      <c r="BG23" s="87" t="s">
        <v>106</v>
      </c>
    </row>
    <row r="24" spans="1:59" x14ac:dyDescent="0.25">
      <c r="A24" s="47">
        <v>41182</v>
      </c>
      <c r="B24" s="2">
        <v>4308</v>
      </c>
      <c r="C24" s="14">
        <v>41153</v>
      </c>
      <c r="D24" s="54">
        <f t="shared" si="0"/>
        <v>41153</v>
      </c>
      <c r="E24" s="55">
        <f t="shared" si="2"/>
        <v>9</v>
      </c>
      <c r="F24" s="55">
        <f t="shared" si="3"/>
        <v>2012</v>
      </c>
      <c r="G24" s="56">
        <f t="shared" si="8"/>
        <v>8.9</v>
      </c>
      <c r="H24" s="56"/>
      <c r="I24" s="56"/>
      <c r="J24" s="74">
        <v>8</v>
      </c>
      <c r="K24" s="75">
        <f t="shared" si="10"/>
        <v>9.4</v>
      </c>
      <c r="L24" s="76">
        <f>AVERAGEIF($E$7:$E$101,9,$G$7:$G$101)</f>
        <v>7.3624999999999998</v>
      </c>
      <c r="M24" s="77">
        <f t="shared" si="11"/>
        <v>9.6466666666666665</v>
      </c>
      <c r="N24" s="77">
        <f>M24*30</f>
        <v>289.39999999999998</v>
      </c>
      <c r="AF24" s="2" t="s">
        <v>107</v>
      </c>
      <c r="AH24" s="101">
        <v>3.1</v>
      </c>
      <c r="AK24" s="102">
        <v>4.25</v>
      </c>
      <c r="AR24" s="48" t="s">
        <v>108</v>
      </c>
      <c r="AS24" s="44"/>
      <c r="AT24" s="45">
        <v>1</v>
      </c>
      <c r="AU24" s="94">
        <v>50</v>
      </c>
      <c r="AV24" s="95">
        <f t="shared" si="13"/>
        <v>50</v>
      </c>
      <c r="AY24" s="106">
        <v>40909</v>
      </c>
      <c r="AZ24" s="107">
        <v>3</v>
      </c>
      <c r="BA24" s="108">
        <v>3.5250000000000004</v>
      </c>
      <c r="BB24" s="109">
        <f t="shared" ref="BB24:BC35" si="14">L16</f>
        <v>2.757056451612903</v>
      </c>
      <c r="BC24" s="110">
        <f t="shared" si="14"/>
        <v>3.4774193548387098</v>
      </c>
      <c r="BD24" s="36">
        <v>31</v>
      </c>
      <c r="BE24" s="111"/>
      <c r="BF24" s="111"/>
      <c r="BG24" s="112"/>
    </row>
    <row r="25" spans="1:59" x14ac:dyDescent="0.25">
      <c r="A25" s="47">
        <v>41213</v>
      </c>
      <c r="B25" s="2">
        <v>4493</v>
      </c>
      <c r="C25" s="14">
        <v>41183</v>
      </c>
      <c r="D25" s="54">
        <f t="shared" si="0"/>
        <v>41183</v>
      </c>
      <c r="E25" s="55">
        <f t="shared" si="2"/>
        <v>10</v>
      </c>
      <c r="F25" s="55">
        <f t="shared" si="3"/>
        <v>2012</v>
      </c>
      <c r="G25" s="56">
        <f t="shared" si="8"/>
        <v>5.967741935483871</v>
      </c>
      <c r="H25" s="56"/>
      <c r="I25" s="56"/>
      <c r="J25" s="74">
        <v>6</v>
      </c>
      <c r="K25" s="75">
        <f t="shared" si="10"/>
        <v>7.0500000000000007</v>
      </c>
      <c r="L25" s="76">
        <f>AVERAGEIF($E$7:$E$101,10,$G$7:$G$101)</f>
        <v>5.3467741935483879</v>
      </c>
      <c r="M25" s="77">
        <f t="shared" si="11"/>
        <v>6.2</v>
      </c>
      <c r="N25" s="77">
        <f t="shared" si="12"/>
        <v>192.20000000000002</v>
      </c>
      <c r="AR25" s="48" t="s">
        <v>109</v>
      </c>
      <c r="AS25" s="44"/>
      <c r="AT25" s="45">
        <v>12</v>
      </c>
      <c r="AU25" s="94">
        <v>60</v>
      </c>
      <c r="AV25" s="95">
        <f t="shared" si="13"/>
        <v>720</v>
      </c>
      <c r="AY25" s="113">
        <v>40940</v>
      </c>
      <c r="AZ25" s="74">
        <v>4</v>
      </c>
      <c r="BA25" s="75">
        <v>4.7</v>
      </c>
      <c r="BB25" s="76">
        <f t="shared" si="14"/>
        <v>5.2832512315270934</v>
      </c>
      <c r="BC25" s="114">
        <f t="shared" si="14"/>
        <v>5.3738916256157641</v>
      </c>
      <c r="BD25" s="48">
        <v>28</v>
      </c>
      <c r="BE25" s="44"/>
      <c r="BF25" s="44"/>
      <c r="BG25" s="115"/>
    </row>
    <row r="26" spans="1:59" x14ac:dyDescent="0.25">
      <c r="A26" s="47">
        <v>41243</v>
      </c>
      <c r="B26" s="2">
        <v>4597</v>
      </c>
      <c r="C26" s="14">
        <v>41214</v>
      </c>
      <c r="D26" s="54">
        <f t="shared" si="0"/>
        <v>41214</v>
      </c>
      <c r="E26" s="55">
        <f t="shared" si="2"/>
        <v>11</v>
      </c>
      <c r="F26" s="55">
        <f t="shared" si="3"/>
        <v>2012</v>
      </c>
      <c r="G26" s="56">
        <f t="shared" si="8"/>
        <v>3.4666666666666668</v>
      </c>
      <c r="H26" s="56"/>
      <c r="I26" s="56"/>
      <c r="J26" s="74">
        <v>4</v>
      </c>
      <c r="K26" s="75">
        <f t="shared" si="10"/>
        <v>4.7</v>
      </c>
      <c r="L26" s="76">
        <f>AVERAGEIF($E$7:$E$101,11,$G$7:$G$101)</f>
        <v>3.2166666666666668</v>
      </c>
      <c r="M26" s="77">
        <f t="shared" si="11"/>
        <v>3.7599999999999993</v>
      </c>
      <c r="N26" s="77">
        <f>M26*30</f>
        <v>112.79999999999998</v>
      </c>
      <c r="AR26" s="48" t="s">
        <v>110</v>
      </c>
      <c r="AS26" s="44"/>
      <c r="AT26" s="45">
        <v>2</v>
      </c>
      <c r="AU26" s="94">
        <v>100</v>
      </c>
      <c r="AV26" s="95">
        <f t="shared" si="13"/>
        <v>200</v>
      </c>
      <c r="AY26" s="113">
        <v>40969</v>
      </c>
      <c r="AZ26" s="74">
        <v>6</v>
      </c>
      <c r="BA26" s="75">
        <v>7.0500000000000007</v>
      </c>
      <c r="BB26" s="76">
        <f t="shared" si="14"/>
        <v>7.4147465437788016</v>
      </c>
      <c r="BC26" s="114">
        <f t="shared" si="14"/>
        <v>8.2473118279569899</v>
      </c>
      <c r="BD26" s="48">
        <v>10</v>
      </c>
      <c r="BE26" s="116">
        <f t="shared" ref="BE26:BF33" si="15">$BD26*BB26</f>
        <v>74.147465437788014</v>
      </c>
      <c r="BF26" s="116">
        <f t="shared" si="15"/>
        <v>82.473118279569903</v>
      </c>
      <c r="BG26" s="117">
        <f t="shared" ref="BG26:BG33" si="16">(BF26-BE26)/BE26</f>
        <v>0.11228506318624425</v>
      </c>
    </row>
    <row r="27" spans="1:59" ht="15.75" thickBot="1" x14ac:dyDescent="0.3">
      <c r="A27" s="47">
        <v>41274</v>
      </c>
      <c r="B27" s="2">
        <v>4670</v>
      </c>
      <c r="C27" s="14">
        <v>41244</v>
      </c>
      <c r="D27" s="54">
        <f t="shared" si="0"/>
        <v>41244</v>
      </c>
      <c r="E27" s="55">
        <f t="shared" si="2"/>
        <v>12</v>
      </c>
      <c r="F27" s="55">
        <f t="shared" si="3"/>
        <v>2012</v>
      </c>
      <c r="G27" s="56">
        <f t="shared" si="8"/>
        <v>2.3548387096774195</v>
      </c>
      <c r="H27" s="56"/>
      <c r="I27" s="56"/>
      <c r="J27" s="118">
        <v>3</v>
      </c>
      <c r="K27" s="119">
        <f t="shared" si="10"/>
        <v>3.5250000000000004</v>
      </c>
      <c r="L27" s="120">
        <f>AVERAGEIF($E$7:$E$101,12,$G$7:$G$101)</f>
        <v>2.350806451612903</v>
      </c>
      <c r="M27" s="121">
        <f t="shared" si="11"/>
        <v>2.3741935483870966</v>
      </c>
      <c r="N27" s="121">
        <f t="shared" si="12"/>
        <v>73.599999999999994</v>
      </c>
      <c r="AR27" s="48"/>
      <c r="AS27" s="44"/>
      <c r="AT27" s="45"/>
      <c r="AU27" s="44"/>
      <c r="AV27" s="115"/>
      <c r="AY27" s="113">
        <v>41000</v>
      </c>
      <c r="AZ27" s="74">
        <v>8</v>
      </c>
      <c r="BA27" s="75">
        <v>9.4</v>
      </c>
      <c r="BB27" s="76">
        <f t="shared" si="14"/>
        <v>9.7658333333333331</v>
      </c>
      <c r="BC27" s="114">
        <f t="shared" si="14"/>
        <v>12.322222222222223</v>
      </c>
      <c r="BD27" s="48">
        <v>30</v>
      </c>
      <c r="BE27" s="116">
        <f t="shared" si="15"/>
        <v>292.97500000000002</v>
      </c>
      <c r="BF27" s="116">
        <f t="shared" si="15"/>
        <v>369.66666666666669</v>
      </c>
      <c r="BG27" s="117">
        <f t="shared" si="16"/>
        <v>0.26176863782461529</v>
      </c>
    </row>
    <row r="28" spans="1:59" x14ac:dyDescent="0.25">
      <c r="A28" s="47">
        <v>41305</v>
      </c>
      <c r="B28" s="2">
        <v>4732</v>
      </c>
      <c r="C28" s="14">
        <f t="shared" ref="C28:C91" si="17">A28</f>
        <v>41305</v>
      </c>
      <c r="D28" s="54">
        <f t="shared" si="0"/>
        <v>41305</v>
      </c>
      <c r="E28" s="55">
        <f t="shared" si="2"/>
        <v>1</v>
      </c>
      <c r="F28" s="55">
        <f t="shared" si="3"/>
        <v>2013</v>
      </c>
      <c r="G28" s="56">
        <f t="shared" si="8"/>
        <v>2</v>
      </c>
      <c r="H28" s="56"/>
      <c r="I28" s="56"/>
      <c r="AR28" s="122" t="s">
        <v>111</v>
      </c>
      <c r="AS28" s="44"/>
      <c r="AT28" s="45"/>
      <c r="AU28" s="44"/>
      <c r="AV28" s="123">
        <f>SUM(AV19:AV26)</f>
        <v>2612.0100000000002</v>
      </c>
      <c r="AY28" s="113">
        <v>41030</v>
      </c>
      <c r="AZ28" s="74">
        <v>9.5</v>
      </c>
      <c r="BA28" s="75">
        <v>11.1625</v>
      </c>
      <c r="BB28" s="76">
        <f t="shared" si="14"/>
        <v>9.7321650124069468</v>
      </c>
      <c r="BC28" s="114">
        <f t="shared" si="14"/>
        <v>12.553763440860216</v>
      </c>
      <c r="BD28" s="48">
        <v>31</v>
      </c>
      <c r="BE28" s="116">
        <f t="shared" si="15"/>
        <v>301.69711538461536</v>
      </c>
      <c r="BF28" s="116">
        <f t="shared" si="15"/>
        <v>389.16666666666669</v>
      </c>
      <c r="BG28" s="117">
        <f t="shared" si="16"/>
        <v>0.28992505006400776</v>
      </c>
    </row>
    <row r="29" spans="1:59" x14ac:dyDescent="0.25">
      <c r="A29" s="47">
        <v>41333</v>
      </c>
      <c r="B29" s="2">
        <v>4856</v>
      </c>
      <c r="C29" s="14">
        <f t="shared" si="17"/>
        <v>41333</v>
      </c>
      <c r="D29" s="54">
        <f t="shared" si="0"/>
        <v>41333</v>
      </c>
      <c r="E29" s="55">
        <f t="shared" si="2"/>
        <v>2</v>
      </c>
      <c r="F29" s="55">
        <f t="shared" si="3"/>
        <v>2013</v>
      </c>
      <c r="G29" s="56">
        <f t="shared" si="8"/>
        <v>4.4285714285714288</v>
      </c>
      <c r="H29" s="56"/>
      <c r="I29" s="56"/>
      <c r="AR29" s="43" t="s">
        <v>112</v>
      </c>
      <c r="AS29" s="44"/>
      <c r="AT29" s="45"/>
      <c r="AU29" s="124">
        <v>0.2</v>
      </c>
      <c r="AV29" s="123">
        <f>AV28*AU29</f>
        <v>522.40200000000004</v>
      </c>
      <c r="AY29" s="113">
        <v>41061</v>
      </c>
      <c r="AZ29" s="74">
        <v>10.5</v>
      </c>
      <c r="BA29" s="75">
        <v>12.3375</v>
      </c>
      <c r="BB29" s="76">
        <f t="shared" si="14"/>
        <v>9.0458333333333343</v>
      </c>
      <c r="BC29" s="114">
        <f t="shared" si="14"/>
        <v>12.046666666666667</v>
      </c>
      <c r="BD29" s="48">
        <v>30</v>
      </c>
      <c r="BE29" s="116">
        <f t="shared" si="15"/>
        <v>271.375</v>
      </c>
      <c r="BF29" s="116">
        <f t="shared" si="15"/>
        <v>361.4</v>
      </c>
      <c r="BG29" s="117">
        <f t="shared" si="16"/>
        <v>0.33173652694610772</v>
      </c>
    </row>
    <row r="30" spans="1:59" x14ac:dyDescent="0.25">
      <c r="A30" s="47">
        <v>41364</v>
      </c>
      <c r="B30" s="2">
        <v>5004</v>
      </c>
      <c r="C30" s="14">
        <f t="shared" si="17"/>
        <v>41364</v>
      </c>
      <c r="D30" s="54">
        <f t="shared" si="0"/>
        <v>41364</v>
      </c>
      <c r="E30" s="55">
        <f t="shared" si="2"/>
        <v>3</v>
      </c>
      <c r="F30" s="55">
        <f t="shared" si="3"/>
        <v>2013</v>
      </c>
      <c r="G30" s="56">
        <f t="shared" si="8"/>
        <v>4.774193548387097</v>
      </c>
      <c r="H30" s="56"/>
      <c r="I30" s="56"/>
      <c r="AR30" s="122" t="s">
        <v>113</v>
      </c>
      <c r="AS30" s="44"/>
      <c r="AT30" s="45"/>
      <c r="AU30" s="124"/>
      <c r="AV30" s="123">
        <f>AV28+AV29</f>
        <v>3134.4120000000003</v>
      </c>
      <c r="AY30" s="113">
        <v>41091</v>
      </c>
      <c r="AZ30" s="74">
        <v>10.5</v>
      </c>
      <c r="BA30" s="75">
        <v>12.3375</v>
      </c>
      <c r="BB30" s="76">
        <f t="shared" si="14"/>
        <v>8.628856942496494</v>
      </c>
      <c r="BC30" s="114">
        <f t="shared" si="14"/>
        <v>11.193548387096774</v>
      </c>
      <c r="BD30" s="48">
        <v>31</v>
      </c>
      <c r="BE30" s="116">
        <f t="shared" si="15"/>
        <v>267.49456521739131</v>
      </c>
      <c r="BF30" s="116">
        <f t="shared" si="15"/>
        <v>347</v>
      </c>
      <c r="BG30" s="117">
        <f t="shared" si="16"/>
        <v>0.29722261728194393</v>
      </c>
    </row>
    <row r="31" spans="1:59" x14ac:dyDescent="0.25">
      <c r="A31" s="47">
        <v>41394</v>
      </c>
      <c r="B31" s="2">
        <v>5329</v>
      </c>
      <c r="C31" s="14">
        <f t="shared" si="17"/>
        <v>41394</v>
      </c>
      <c r="D31" s="54">
        <f t="shared" si="0"/>
        <v>41394</v>
      </c>
      <c r="E31" s="55">
        <f t="shared" si="2"/>
        <v>4</v>
      </c>
      <c r="F31" s="55">
        <f t="shared" si="3"/>
        <v>2013</v>
      </c>
      <c r="G31" s="56">
        <f t="shared" si="8"/>
        <v>10.833333333333334</v>
      </c>
      <c r="H31" s="56"/>
      <c r="I31" s="56"/>
      <c r="AR31" s="43" t="s">
        <v>114</v>
      </c>
      <c r="AS31" s="44"/>
      <c r="AT31" s="45"/>
      <c r="AU31" s="124">
        <v>0.2</v>
      </c>
      <c r="AV31" s="123">
        <f>AV30*AU31</f>
        <v>626.88240000000008</v>
      </c>
      <c r="AY31" s="113">
        <v>41122</v>
      </c>
      <c r="AZ31" s="74">
        <v>9.5</v>
      </c>
      <c r="BA31" s="75">
        <v>11.1625</v>
      </c>
      <c r="BB31" s="76">
        <f t="shared" si="14"/>
        <v>8.1752352150537622</v>
      </c>
      <c r="BC31" s="114">
        <f t="shared" si="14"/>
        <v>10.845161290322581</v>
      </c>
      <c r="BD31" s="48">
        <v>31</v>
      </c>
      <c r="BE31" s="116">
        <f t="shared" si="15"/>
        <v>253.43229166666663</v>
      </c>
      <c r="BF31" s="116">
        <f t="shared" si="15"/>
        <v>336.2</v>
      </c>
      <c r="BG31" s="117">
        <f t="shared" si="16"/>
        <v>0.32658706508559582</v>
      </c>
    </row>
    <row r="32" spans="1:59" ht="15.75" thickBot="1" x14ac:dyDescent="0.3">
      <c r="A32" s="47">
        <v>41425</v>
      </c>
      <c r="B32" s="2">
        <v>5618</v>
      </c>
      <c r="C32" s="14">
        <f t="shared" si="17"/>
        <v>41425</v>
      </c>
      <c r="D32" s="54">
        <f t="shared" si="0"/>
        <v>41425</v>
      </c>
      <c r="E32" s="55">
        <f t="shared" si="2"/>
        <v>5</v>
      </c>
      <c r="F32" s="55">
        <f t="shared" si="3"/>
        <v>2013</v>
      </c>
      <c r="G32" s="56">
        <f t="shared" si="8"/>
        <v>9.32258064516129</v>
      </c>
      <c r="H32" s="56"/>
      <c r="I32" s="56"/>
      <c r="M32" s="125" t="s">
        <v>115</v>
      </c>
      <c r="N32" s="125"/>
      <c r="O32" s="125"/>
      <c r="AR32" s="126"/>
      <c r="AS32" s="127"/>
      <c r="AT32" s="127"/>
      <c r="AU32" s="127"/>
      <c r="AV32" s="128"/>
      <c r="AY32" s="113">
        <v>41153</v>
      </c>
      <c r="AZ32" s="74">
        <v>8</v>
      </c>
      <c r="BA32" s="75">
        <v>9.4</v>
      </c>
      <c r="BB32" s="76">
        <f t="shared" si="14"/>
        <v>7.3624999999999998</v>
      </c>
      <c r="BC32" s="114">
        <f t="shared" si="14"/>
        <v>9.6466666666666665</v>
      </c>
      <c r="BD32" s="48">
        <v>30</v>
      </c>
      <c r="BE32" s="116">
        <f t="shared" si="15"/>
        <v>220.875</v>
      </c>
      <c r="BF32" s="116">
        <f t="shared" si="15"/>
        <v>289.39999999999998</v>
      </c>
      <c r="BG32" s="117">
        <f t="shared" si="16"/>
        <v>0.31024335031126193</v>
      </c>
    </row>
    <row r="33" spans="1:59" ht="15.75" thickBot="1" x14ac:dyDescent="0.3">
      <c r="A33" s="47">
        <v>41455</v>
      </c>
      <c r="B33" s="2">
        <v>5895</v>
      </c>
      <c r="C33" s="14">
        <f t="shared" si="17"/>
        <v>41455</v>
      </c>
      <c r="D33" s="54">
        <f t="shared" si="0"/>
        <v>41455</v>
      </c>
      <c r="E33" s="55">
        <f t="shared" si="2"/>
        <v>6</v>
      </c>
      <c r="F33" s="55">
        <f t="shared" si="3"/>
        <v>2013</v>
      </c>
      <c r="G33" s="56">
        <f t="shared" si="8"/>
        <v>9.2333333333333325</v>
      </c>
      <c r="H33" s="56"/>
      <c r="I33" s="56"/>
      <c r="M33" s="1">
        <v>1</v>
      </c>
      <c r="N33" s="1"/>
      <c r="O33" s="1"/>
      <c r="AR33" s="129" t="s">
        <v>116</v>
      </c>
      <c r="AS33" s="22"/>
      <c r="AT33" s="22"/>
      <c r="AU33" s="22"/>
      <c r="AV33" s="130">
        <f>AV30+AV31</f>
        <v>3761.2944000000002</v>
      </c>
      <c r="AY33" s="113">
        <v>41183</v>
      </c>
      <c r="AZ33" s="74">
        <v>6</v>
      </c>
      <c r="BA33" s="75">
        <v>7.0500000000000007</v>
      </c>
      <c r="BB33" s="76">
        <f t="shared" si="14"/>
        <v>5.3467741935483879</v>
      </c>
      <c r="BC33" s="114">
        <f t="shared" si="14"/>
        <v>6.2</v>
      </c>
      <c r="BD33" s="48">
        <v>31</v>
      </c>
      <c r="BE33" s="116">
        <f t="shared" si="15"/>
        <v>165.75000000000003</v>
      </c>
      <c r="BF33" s="116">
        <f t="shared" si="15"/>
        <v>192.20000000000002</v>
      </c>
      <c r="BG33" s="117">
        <f t="shared" si="16"/>
        <v>0.15957767722473595</v>
      </c>
    </row>
    <row r="34" spans="1:59" ht="45" x14ac:dyDescent="0.25">
      <c r="A34" s="47">
        <v>41486</v>
      </c>
      <c r="B34" s="2">
        <v>6218</v>
      </c>
      <c r="C34" s="14">
        <f t="shared" si="17"/>
        <v>41486</v>
      </c>
      <c r="D34" s="54">
        <f t="shared" si="0"/>
        <v>41486</v>
      </c>
      <c r="E34" s="55">
        <f t="shared" si="2"/>
        <v>7</v>
      </c>
      <c r="F34" s="55">
        <f t="shared" si="3"/>
        <v>2013</v>
      </c>
      <c r="G34" s="56">
        <f t="shared" si="8"/>
        <v>10.419354838709678</v>
      </c>
      <c r="H34" s="56"/>
      <c r="I34" s="56"/>
      <c r="M34" s="1">
        <v>2</v>
      </c>
      <c r="N34" s="1"/>
      <c r="O34" s="1"/>
      <c r="P34" s="125" t="s">
        <v>117</v>
      </c>
      <c r="Q34" s="125" t="s">
        <v>118</v>
      </c>
      <c r="R34" s="4" t="s">
        <v>119</v>
      </c>
      <c r="S34" s="125" t="s">
        <v>120</v>
      </c>
      <c r="T34" s="131" t="s">
        <v>121</v>
      </c>
      <c r="U34" s="131" t="s">
        <v>122</v>
      </c>
      <c r="V34" s="125" t="s">
        <v>123</v>
      </c>
      <c r="W34" s="125" t="s">
        <v>124</v>
      </c>
      <c r="X34" s="125" t="s">
        <v>125</v>
      </c>
      <c r="Y34" s="97" t="s">
        <v>126</v>
      </c>
      <c r="Z34" s="131" t="s">
        <v>127</v>
      </c>
      <c r="AA34" s="97"/>
      <c r="AB34" s="97"/>
      <c r="AC34" s="97"/>
      <c r="AD34" s="97"/>
      <c r="AE34" s="97"/>
      <c r="AY34" s="113">
        <v>41214</v>
      </c>
      <c r="AZ34" s="74">
        <v>4</v>
      </c>
      <c r="BA34" s="75">
        <v>4.7</v>
      </c>
      <c r="BB34" s="76">
        <f t="shared" si="14"/>
        <v>3.2166666666666668</v>
      </c>
      <c r="BC34" s="114">
        <f t="shared" si="14"/>
        <v>3.7599999999999993</v>
      </c>
      <c r="BD34" s="48">
        <v>30</v>
      </c>
      <c r="BE34" s="44"/>
      <c r="BF34" s="44"/>
      <c r="BG34" s="115"/>
    </row>
    <row r="35" spans="1:59" ht="15.75" thickBot="1" x14ac:dyDescent="0.3">
      <c r="A35" s="47">
        <v>41517</v>
      </c>
      <c r="B35" s="2">
        <v>6539</v>
      </c>
      <c r="C35" s="14">
        <f t="shared" si="17"/>
        <v>41517</v>
      </c>
      <c r="D35" s="54">
        <f t="shared" si="0"/>
        <v>41517</v>
      </c>
      <c r="E35" s="55">
        <f t="shared" si="2"/>
        <v>8</v>
      </c>
      <c r="F35" s="55">
        <f t="shared" si="3"/>
        <v>2013</v>
      </c>
      <c r="G35" s="56">
        <f t="shared" si="8"/>
        <v>10.35483870967742</v>
      </c>
      <c r="H35" s="56"/>
      <c r="I35" s="56"/>
      <c r="M35" s="1">
        <v>3</v>
      </c>
      <c r="N35" s="1"/>
      <c r="O35" s="1"/>
      <c r="P35" s="132">
        <v>40269</v>
      </c>
      <c r="Q35" s="133">
        <v>40148</v>
      </c>
      <c r="R35" s="59">
        <v>0</v>
      </c>
      <c r="S35" s="59">
        <v>0</v>
      </c>
      <c r="T35" s="134"/>
      <c r="U35" s="134"/>
      <c r="V35" s="135">
        <v>218</v>
      </c>
      <c r="W35" s="59">
        <v>0</v>
      </c>
      <c r="X35" s="59">
        <f>W35</f>
        <v>0</v>
      </c>
      <c r="Y35" s="136"/>
      <c r="Z35" s="134"/>
      <c r="AA35" s="136"/>
      <c r="AB35" s="136"/>
      <c r="AC35" s="136"/>
      <c r="AD35" s="136"/>
      <c r="AE35" s="136"/>
      <c r="AY35" s="137">
        <v>41244</v>
      </c>
      <c r="AZ35" s="118">
        <v>3</v>
      </c>
      <c r="BA35" s="119">
        <v>3.5250000000000004</v>
      </c>
      <c r="BB35" s="120">
        <f t="shared" si="14"/>
        <v>2.350806451612903</v>
      </c>
      <c r="BC35" s="138">
        <f t="shared" si="14"/>
        <v>2.3741935483870966</v>
      </c>
      <c r="BD35" s="69">
        <v>31</v>
      </c>
      <c r="BE35" s="127"/>
      <c r="BF35" s="127"/>
      <c r="BG35" s="128"/>
    </row>
    <row r="36" spans="1:59" ht="15.75" thickBot="1" x14ac:dyDescent="0.3">
      <c r="A36" s="47">
        <v>41547</v>
      </c>
      <c r="B36" s="2">
        <v>6717</v>
      </c>
      <c r="C36" s="14">
        <f t="shared" si="17"/>
        <v>41547</v>
      </c>
      <c r="D36" s="54">
        <f t="shared" si="0"/>
        <v>41547</v>
      </c>
      <c r="E36" s="55">
        <f t="shared" si="2"/>
        <v>9</v>
      </c>
      <c r="F36" s="55">
        <f t="shared" si="3"/>
        <v>2013</v>
      </c>
      <c r="G36" s="56">
        <f t="shared" si="8"/>
        <v>5.9333333333333336</v>
      </c>
      <c r="H36" s="56"/>
      <c r="I36" s="56"/>
      <c r="M36" s="1">
        <v>4</v>
      </c>
      <c r="N36" s="1"/>
      <c r="O36" s="1"/>
      <c r="P36" s="132">
        <v>40634</v>
      </c>
      <c r="Q36" s="133">
        <v>40513</v>
      </c>
      <c r="R36" s="59">
        <v>4.8000000000000001E-2</v>
      </c>
      <c r="S36" s="59">
        <f>S35+R36</f>
        <v>4.8000000000000001E-2</v>
      </c>
      <c r="T36" s="34">
        <v>43.3</v>
      </c>
      <c r="U36" s="34">
        <v>3.1</v>
      </c>
      <c r="V36" s="135">
        <v>228.4</v>
      </c>
      <c r="W36" s="59">
        <f t="shared" ref="W36:W41" si="18">(V36-V35)/V35</f>
        <v>4.7706422018348647E-2</v>
      </c>
      <c r="X36" s="59">
        <f t="shared" ref="X36:X45" si="19">W36</f>
        <v>4.7706422018348647E-2</v>
      </c>
      <c r="Y36" s="139">
        <f>T36</f>
        <v>43.3</v>
      </c>
      <c r="Z36" s="34">
        <f>T36+U36/2</f>
        <v>44.849999999999994</v>
      </c>
      <c r="AA36" s="139"/>
      <c r="AB36" s="139"/>
      <c r="AC36" s="139"/>
      <c r="AD36" s="139"/>
      <c r="AE36" s="139"/>
      <c r="AR36" s="79" t="s">
        <v>128</v>
      </c>
      <c r="AS36" s="79"/>
      <c r="AT36" s="79"/>
      <c r="AU36" s="79"/>
      <c r="AV36" s="79"/>
      <c r="AW36" s="79"/>
      <c r="BE36" s="140">
        <f>SUM(BE24:BE35)</f>
        <v>1847.7464377064612</v>
      </c>
      <c r="BF36" s="141">
        <f>SUM(BF24:BF35)</f>
        <v>2367.5064516129032</v>
      </c>
      <c r="BG36" s="142">
        <f>(BF36-BE36)/BE36</f>
        <v>0.28129401486039435</v>
      </c>
    </row>
    <row r="37" spans="1:59" ht="15.75" thickBot="1" x14ac:dyDescent="0.3">
      <c r="A37" s="47">
        <v>41578</v>
      </c>
      <c r="B37" s="2">
        <v>6853</v>
      </c>
      <c r="C37" s="14">
        <f t="shared" si="17"/>
        <v>41578</v>
      </c>
      <c r="D37" s="54">
        <f t="shared" si="0"/>
        <v>41578</v>
      </c>
      <c r="E37" s="55">
        <f t="shared" si="2"/>
        <v>10</v>
      </c>
      <c r="F37" s="55">
        <f t="shared" si="3"/>
        <v>2013</v>
      </c>
      <c r="G37" s="56">
        <f t="shared" si="8"/>
        <v>4.387096774193548</v>
      </c>
      <c r="H37" s="56"/>
      <c r="I37" s="56"/>
      <c r="M37" s="1">
        <v>5</v>
      </c>
      <c r="N37" s="1"/>
      <c r="O37" s="1"/>
      <c r="P37" s="132">
        <v>41000</v>
      </c>
      <c r="Q37" s="133">
        <v>40878</v>
      </c>
      <c r="R37" s="59">
        <v>4.8000000000000001E-2</v>
      </c>
      <c r="S37" s="59">
        <f t="shared" ref="S37:S45" si="20">S36+R37</f>
        <v>9.6000000000000002E-2</v>
      </c>
      <c r="T37" s="34">
        <v>45.4</v>
      </c>
      <c r="U37" s="34">
        <v>3.2</v>
      </c>
      <c r="V37" s="135">
        <v>239.4</v>
      </c>
      <c r="W37" s="59">
        <f t="shared" si="18"/>
        <v>4.816112084063047E-2</v>
      </c>
      <c r="X37" s="59">
        <f t="shared" si="19"/>
        <v>4.816112084063047E-2</v>
      </c>
      <c r="Y37" s="139">
        <f t="shared" ref="Y37:Y45" si="21">ROUNDUP(Y36*(R36+1),2)</f>
        <v>45.379999999999995</v>
      </c>
      <c r="Z37" s="34">
        <f t="shared" ref="Z37:Z49" si="22">T37+U37/2</f>
        <v>47</v>
      </c>
      <c r="AA37" s="139"/>
      <c r="AB37" s="139"/>
      <c r="AC37" s="139"/>
      <c r="AD37" s="139"/>
      <c r="AE37" s="139"/>
      <c r="AR37" s="85" t="s">
        <v>76</v>
      </c>
      <c r="AS37" s="86" t="s">
        <v>129</v>
      </c>
      <c r="AT37" s="86" t="s">
        <v>130</v>
      </c>
      <c r="AU37" s="86" t="s">
        <v>131</v>
      </c>
      <c r="AV37" s="86" t="s">
        <v>132</v>
      </c>
      <c r="AW37" s="87" t="s">
        <v>133</v>
      </c>
    </row>
    <row r="38" spans="1:59" x14ac:dyDescent="0.25">
      <c r="A38" s="47">
        <v>41608</v>
      </c>
      <c r="B38" s="2">
        <v>6955</v>
      </c>
      <c r="C38" s="14">
        <f t="shared" si="17"/>
        <v>41608</v>
      </c>
      <c r="D38" s="54">
        <f t="shared" si="0"/>
        <v>41608</v>
      </c>
      <c r="E38" s="55">
        <f t="shared" si="2"/>
        <v>11</v>
      </c>
      <c r="F38" s="55">
        <f t="shared" si="3"/>
        <v>2013</v>
      </c>
      <c r="G38" s="56">
        <f t="shared" si="8"/>
        <v>3.4</v>
      </c>
      <c r="H38" s="56"/>
      <c r="I38" s="56"/>
      <c r="M38" s="1">
        <v>6</v>
      </c>
      <c r="N38" s="1"/>
      <c r="O38" s="1"/>
      <c r="P38" s="132">
        <v>41365</v>
      </c>
      <c r="Q38" s="133">
        <v>41244</v>
      </c>
      <c r="R38" s="59">
        <v>3.1E-2</v>
      </c>
      <c r="S38" s="59">
        <f t="shared" si="20"/>
        <v>0.127</v>
      </c>
      <c r="T38" s="34">
        <v>46.81</v>
      </c>
      <c r="U38" s="34">
        <v>3.3</v>
      </c>
      <c r="V38" s="135">
        <v>246.8</v>
      </c>
      <c r="W38" s="59">
        <f t="shared" si="18"/>
        <v>3.0910609857978302E-2</v>
      </c>
      <c r="X38" s="59">
        <f t="shared" si="19"/>
        <v>3.0910609857978302E-2</v>
      </c>
      <c r="Y38" s="139">
        <f t="shared" si="21"/>
        <v>47.559999999999995</v>
      </c>
      <c r="Z38" s="34">
        <f t="shared" si="22"/>
        <v>48.46</v>
      </c>
      <c r="AA38" s="139"/>
      <c r="AB38" s="139"/>
      <c r="AC38" s="139"/>
      <c r="AD38" s="139"/>
      <c r="AE38" s="139"/>
      <c r="AR38" s="143" t="s">
        <v>134</v>
      </c>
      <c r="AS38" s="144">
        <v>43769</v>
      </c>
      <c r="AT38" s="145" t="s">
        <v>135</v>
      </c>
      <c r="AU38" s="146">
        <v>21376</v>
      </c>
      <c r="AV38" s="147">
        <f>AU38/(AS38-AW4+1)</f>
        <v>6.8556767158434893</v>
      </c>
      <c r="AW38" s="148"/>
    </row>
    <row r="39" spans="1:59" x14ac:dyDescent="0.25">
      <c r="A39" s="47">
        <v>41639</v>
      </c>
      <c r="B39" s="2">
        <v>7021</v>
      </c>
      <c r="C39" s="14">
        <f t="shared" si="17"/>
        <v>41639</v>
      </c>
      <c r="D39" s="54">
        <f t="shared" si="0"/>
        <v>41639</v>
      </c>
      <c r="E39" s="55">
        <f t="shared" si="2"/>
        <v>12</v>
      </c>
      <c r="F39" s="55">
        <f t="shared" si="3"/>
        <v>2013</v>
      </c>
      <c r="G39" s="56">
        <f t="shared" si="8"/>
        <v>2.129032258064516</v>
      </c>
      <c r="H39" s="56"/>
      <c r="I39" s="56"/>
      <c r="M39" s="1">
        <v>7</v>
      </c>
      <c r="N39" s="1"/>
      <c r="O39" s="1"/>
      <c r="P39" s="132">
        <v>41730</v>
      </c>
      <c r="Q39" s="133">
        <v>41609</v>
      </c>
      <c r="R39" s="59">
        <v>2.7E-2</v>
      </c>
      <c r="S39" s="59">
        <f t="shared" si="20"/>
        <v>0.154</v>
      </c>
      <c r="T39" s="34">
        <v>48.07</v>
      </c>
      <c r="U39" s="34">
        <v>3.39</v>
      </c>
      <c r="V39" s="135">
        <v>253.4</v>
      </c>
      <c r="W39" s="59">
        <f t="shared" si="18"/>
        <v>2.6742301458670965E-2</v>
      </c>
      <c r="X39" s="59">
        <f t="shared" si="19"/>
        <v>2.6742301458670965E-2</v>
      </c>
      <c r="Y39" s="139">
        <f t="shared" si="21"/>
        <v>49.04</v>
      </c>
      <c r="Z39" s="34">
        <f t="shared" si="22"/>
        <v>49.765000000000001</v>
      </c>
      <c r="AA39" s="139"/>
      <c r="AB39" s="139"/>
      <c r="AC39" s="139" t="s">
        <v>136</v>
      </c>
      <c r="AD39" s="139"/>
      <c r="AE39" s="139"/>
      <c r="AR39" s="48" t="s">
        <v>137</v>
      </c>
      <c r="AS39" s="149">
        <v>43544</v>
      </c>
      <c r="AT39" s="150" t="s">
        <v>135</v>
      </c>
      <c r="AU39" s="151">
        <v>9188</v>
      </c>
      <c r="AV39" s="152">
        <f>AU39/(AS39-AW4+1)</f>
        <v>3.1759419287936397</v>
      </c>
      <c r="AW39" s="153"/>
    </row>
    <row r="40" spans="1:59" x14ac:dyDescent="0.25">
      <c r="A40" s="47">
        <v>41670</v>
      </c>
      <c r="B40" s="2">
        <v>7115</v>
      </c>
      <c r="C40" s="14">
        <f t="shared" si="17"/>
        <v>41670</v>
      </c>
      <c r="D40" s="54">
        <f t="shared" si="0"/>
        <v>41670</v>
      </c>
      <c r="E40" s="55">
        <f t="shared" si="2"/>
        <v>1</v>
      </c>
      <c r="F40" s="55">
        <f t="shared" si="3"/>
        <v>2014</v>
      </c>
      <c r="G40" s="56">
        <f t="shared" si="8"/>
        <v>3.032258064516129</v>
      </c>
      <c r="H40" s="56"/>
      <c r="I40" s="56"/>
      <c r="M40" s="1">
        <v>8</v>
      </c>
      <c r="N40" s="1"/>
      <c r="O40" s="1"/>
      <c r="P40" s="132">
        <v>42095</v>
      </c>
      <c r="Q40" s="133">
        <v>41974</v>
      </c>
      <c r="R40" s="59">
        <v>1.6E-2</v>
      </c>
      <c r="S40" s="59">
        <f t="shared" si="20"/>
        <v>0.16999999999999998</v>
      </c>
      <c r="T40" s="34">
        <v>48.84</v>
      </c>
      <c r="U40" s="34">
        <v>3.44</v>
      </c>
      <c r="V40" s="135">
        <v>257.5</v>
      </c>
      <c r="W40" s="59">
        <f t="shared" si="18"/>
        <v>1.6179952644041019E-2</v>
      </c>
      <c r="X40" s="59">
        <f t="shared" si="19"/>
        <v>1.6179952644041019E-2</v>
      </c>
      <c r="Y40" s="139">
        <f t="shared" si="21"/>
        <v>50.37</v>
      </c>
      <c r="Z40" s="34">
        <f t="shared" si="22"/>
        <v>50.56</v>
      </c>
      <c r="AA40" s="139"/>
      <c r="AB40" s="139"/>
      <c r="AC40" s="139" t="s">
        <v>138</v>
      </c>
      <c r="AD40" s="139"/>
      <c r="AE40" s="139"/>
      <c r="AR40" s="48" t="s">
        <v>139</v>
      </c>
      <c r="AS40" s="149">
        <v>43544</v>
      </c>
      <c r="AT40" s="150">
        <v>0</v>
      </c>
      <c r="AU40" s="151">
        <v>26.9</v>
      </c>
      <c r="AV40" s="152">
        <f>AU40/(AS40-AS6+1)</f>
        <v>3.3624999999999998</v>
      </c>
      <c r="AW40" s="154"/>
    </row>
    <row r="41" spans="1:59" x14ac:dyDescent="0.25">
      <c r="A41" s="47">
        <v>41698</v>
      </c>
      <c r="B41" s="2">
        <v>7262</v>
      </c>
      <c r="C41" s="14">
        <f t="shared" si="17"/>
        <v>41698</v>
      </c>
      <c r="D41" s="54">
        <f t="shared" si="0"/>
        <v>41698</v>
      </c>
      <c r="E41" s="55">
        <f t="shared" si="2"/>
        <v>2</v>
      </c>
      <c r="F41" s="55">
        <f t="shared" si="3"/>
        <v>2014</v>
      </c>
      <c r="G41" s="56">
        <f t="shared" si="8"/>
        <v>5.25</v>
      </c>
      <c r="H41" s="56"/>
      <c r="I41" s="56"/>
      <c r="M41" s="1">
        <v>9</v>
      </c>
      <c r="N41" s="1"/>
      <c r="O41" s="1"/>
      <c r="P41" s="132">
        <v>42461</v>
      </c>
      <c r="Q41" s="133">
        <v>42339</v>
      </c>
      <c r="R41" s="59">
        <v>1.2E-2</v>
      </c>
      <c r="S41" s="59">
        <f t="shared" si="20"/>
        <v>0.182</v>
      </c>
      <c r="T41" s="34">
        <v>49.43</v>
      </c>
      <c r="U41" s="34">
        <v>3.48</v>
      </c>
      <c r="V41" s="135">
        <v>260.60000000000002</v>
      </c>
      <c r="W41" s="59">
        <f t="shared" si="18"/>
        <v>1.20388349514564E-2</v>
      </c>
      <c r="X41" s="59">
        <f t="shared" si="19"/>
        <v>1.20388349514564E-2</v>
      </c>
      <c r="Y41" s="139">
        <f t="shared" si="21"/>
        <v>51.18</v>
      </c>
      <c r="Z41" s="34">
        <f t="shared" si="22"/>
        <v>51.17</v>
      </c>
      <c r="AA41" s="139"/>
      <c r="AB41" s="139"/>
      <c r="AC41" s="139" t="s">
        <v>140</v>
      </c>
      <c r="AD41" s="139"/>
      <c r="AE41" s="139"/>
      <c r="AR41" s="48" t="s">
        <v>141</v>
      </c>
      <c r="AS41" s="155">
        <f>AW7</f>
        <v>43537</v>
      </c>
      <c r="AT41" s="45" t="s">
        <v>135</v>
      </c>
      <c r="AU41" s="151">
        <v>9814.5</v>
      </c>
      <c r="AV41" s="152">
        <f>AU41/(AS41-AW4+1)</f>
        <v>3.4007276507276507</v>
      </c>
      <c r="AW41" s="153"/>
      <c r="AX41" s="102"/>
    </row>
    <row r="42" spans="1:59" x14ac:dyDescent="0.25">
      <c r="A42" s="47">
        <v>41729</v>
      </c>
      <c r="B42" s="2">
        <v>7551</v>
      </c>
      <c r="C42" s="14">
        <f t="shared" si="17"/>
        <v>41729</v>
      </c>
      <c r="D42" s="54">
        <f t="shared" si="0"/>
        <v>41729</v>
      </c>
      <c r="E42" s="55">
        <f t="shared" si="2"/>
        <v>3</v>
      </c>
      <c r="F42" s="55">
        <f t="shared" si="3"/>
        <v>2014</v>
      </c>
      <c r="G42" s="56">
        <f t="shared" si="8"/>
        <v>9.32258064516129</v>
      </c>
      <c r="H42" s="56"/>
      <c r="I42" s="56"/>
      <c r="M42" s="1">
        <v>10</v>
      </c>
      <c r="N42" s="1"/>
      <c r="O42" s="1"/>
      <c r="P42" s="132">
        <v>42826</v>
      </c>
      <c r="Q42" s="133">
        <v>42705</v>
      </c>
      <c r="R42" s="59">
        <v>2.5000000000000001E-2</v>
      </c>
      <c r="S42" s="59">
        <f t="shared" si="20"/>
        <v>0.20699999999999999</v>
      </c>
      <c r="T42" s="34">
        <v>50.67</v>
      </c>
      <c r="U42" s="34">
        <v>3.57</v>
      </c>
      <c r="V42" s="135">
        <v>267.10000000000002</v>
      </c>
      <c r="W42" s="59">
        <f>(V42-V41)/V41</f>
        <v>2.49424405218726E-2</v>
      </c>
      <c r="X42" s="59">
        <f t="shared" si="19"/>
        <v>2.49424405218726E-2</v>
      </c>
      <c r="Y42" s="139">
        <f t="shared" si="21"/>
        <v>51.8</v>
      </c>
      <c r="Z42" s="34">
        <f t="shared" si="22"/>
        <v>52.454999999999998</v>
      </c>
      <c r="AA42" s="139"/>
      <c r="AB42" s="139"/>
      <c r="AC42" s="139" t="s">
        <v>142</v>
      </c>
      <c r="AD42" s="139"/>
      <c r="AE42" s="139"/>
      <c r="AR42" s="48" t="s">
        <v>137</v>
      </c>
      <c r="AS42" s="155">
        <v>43544</v>
      </c>
      <c r="AT42" s="45" t="s">
        <v>135</v>
      </c>
      <c r="AU42" s="151">
        <v>9188</v>
      </c>
      <c r="AV42" s="152">
        <f>AU42/(AS42-AW4+1)</f>
        <v>3.1759419287936397</v>
      </c>
      <c r="AW42" s="115"/>
    </row>
    <row r="43" spans="1:59" ht="15.75" thickBot="1" x14ac:dyDescent="0.3">
      <c r="A43" s="47">
        <v>41759</v>
      </c>
      <c r="B43" s="2">
        <v>7826</v>
      </c>
      <c r="C43" s="14">
        <f t="shared" si="17"/>
        <v>41759</v>
      </c>
      <c r="D43" s="54">
        <f t="shared" si="0"/>
        <v>41759</v>
      </c>
      <c r="E43" s="55">
        <f t="shared" si="2"/>
        <v>4</v>
      </c>
      <c r="F43" s="55">
        <f t="shared" si="3"/>
        <v>2014</v>
      </c>
      <c r="G43" s="56">
        <f t="shared" si="8"/>
        <v>9.1666666666666661</v>
      </c>
      <c r="H43" s="56"/>
      <c r="I43" s="56"/>
      <c r="M43" s="1">
        <v>11</v>
      </c>
      <c r="N43" s="1"/>
      <c r="O43" s="1"/>
      <c r="P43" s="132">
        <v>43191</v>
      </c>
      <c r="Q43" s="133">
        <v>43070</v>
      </c>
      <c r="R43" s="59">
        <v>4.1000000000000002E-2</v>
      </c>
      <c r="S43" s="59">
        <f t="shared" si="20"/>
        <v>0.248</v>
      </c>
      <c r="T43" s="34">
        <v>52.75</v>
      </c>
      <c r="U43" s="34">
        <v>3.72</v>
      </c>
      <c r="V43" s="135">
        <v>278.10000000000002</v>
      </c>
      <c r="W43" s="59">
        <f>(V43-V42)/V42</f>
        <v>4.1183077499064018E-2</v>
      </c>
      <c r="X43" s="59">
        <f t="shared" si="19"/>
        <v>4.1183077499064018E-2</v>
      </c>
      <c r="Y43" s="139">
        <f t="shared" si="21"/>
        <v>53.1</v>
      </c>
      <c r="Z43" s="34">
        <f t="shared" si="22"/>
        <v>54.61</v>
      </c>
      <c r="AA43" s="139"/>
      <c r="AE43" s="139"/>
      <c r="AR43" s="48" t="s">
        <v>143</v>
      </c>
      <c r="AS43" s="156" t="s">
        <v>144</v>
      </c>
      <c r="AT43" s="44"/>
      <c r="AU43" s="157">
        <f>SUM(AU41:AU42)</f>
        <v>19002.5</v>
      </c>
      <c r="AV43" s="158">
        <f>SUM(AV41:AV42)</f>
        <v>6.5766695795212904</v>
      </c>
      <c r="AW43" s="115"/>
    </row>
    <row r="44" spans="1:59" ht="15.75" thickBot="1" x14ac:dyDescent="0.3">
      <c r="A44" s="47">
        <v>41790</v>
      </c>
      <c r="B44" s="2">
        <v>8117</v>
      </c>
      <c r="C44" s="14">
        <f t="shared" si="17"/>
        <v>41790</v>
      </c>
      <c r="D44" s="54">
        <f t="shared" si="0"/>
        <v>41790</v>
      </c>
      <c r="E44" s="55">
        <f t="shared" si="2"/>
        <v>5</v>
      </c>
      <c r="F44" s="55">
        <f t="shared" si="3"/>
        <v>2014</v>
      </c>
      <c r="G44" s="56">
        <f t="shared" si="8"/>
        <v>9.387096774193548</v>
      </c>
      <c r="H44" s="56"/>
      <c r="I44" s="56"/>
      <c r="M44" s="1">
        <v>12</v>
      </c>
      <c r="N44" s="1"/>
      <c r="O44" s="1"/>
      <c r="P44" s="132">
        <v>43556</v>
      </c>
      <c r="Q44" s="133">
        <v>43435</v>
      </c>
      <c r="R44" s="159">
        <v>2.7E-2</v>
      </c>
      <c r="S44" s="59">
        <f t="shared" si="20"/>
        <v>0.27500000000000002</v>
      </c>
      <c r="T44" s="34">
        <v>54.17</v>
      </c>
      <c r="U44" s="34">
        <v>3.82</v>
      </c>
      <c r="V44" s="135">
        <v>285.60000000000002</v>
      </c>
      <c r="W44" s="59">
        <f>(V44-V43)/V43</f>
        <v>2.6968716289104636E-2</v>
      </c>
      <c r="X44" s="59">
        <f t="shared" si="19"/>
        <v>2.6968716289104636E-2</v>
      </c>
      <c r="Y44" s="139">
        <f t="shared" si="21"/>
        <v>55.28</v>
      </c>
      <c r="Z44" s="34">
        <f t="shared" si="22"/>
        <v>56.08</v>
      </c>
      <c r="AA44" s="139"/>
      <c r="AB44" s="160" t="s">
        <v>145</v>
      </c>
      <c r="AC44" s="139"/>
      <c r="AD44" s="139"/>
      <c r="AE44" s="139"/>
      <c r="AR44" s="69" t="s">
        <v>146</v>
      </c>
      <c r="AS44" s="161">
        <f>AS38</f>
        <v>43769</v>
      </c>
      <c r="AT44" s="162">
        <f>AU40</f>
        <v>26.9</v>
      </c>
      <c r="AU44" s="163">
        <f>AU38-AU43</f>
        <v>2373.5</v>
      </c>
      <c r="AV44" s="164">
        <f>(AU44-AT44)/(AS44-AS42)</f>
        <v>10.429333333333332</v>
      </c>
      <c r="AW44" s="165">
        <f>(AV44-AV43)/AV43</f>
        <v>0.58580771121733521</v>
      </c>
      <c r="AX44" s="166">
        <v>142.69999999999999</v>
      </c>
    </row>
    <row r="45" spans="1:59" x14ac:dyDescent="0.25">
      <c r="A45" s="47">
        <v>41820</v>
      </c>
      <c r="B45" s="2">
        <v>8413</v>
      </c>
      <c r="C45" s="14">
        <f t="shared" si="17"/>
        <v>41820</v>
      </c>
      <c r="D45" s="54">
        <f t="shared" si="0"/>
        <v>41820</v>
      </c>
      <c r="E45" s="55">
        <f t="shared" si="2"/>
        <v>6</v>
      </c>
      <c r="F45" s="55">
        <f t="shared" si="3"/>
        <v>2014</v>
      </c>
      <c r="G45" s="56">
        <f t="shared" si="8"/>
        <v>9.8666666666666671</v>
      </c>
      <c r="H45" s="56"/>
      <c r="I45" s="56"/>
      <c r="M45" s="1">
        <v>13</v>
      </c>
      <c r="N45" s="1"/>
      <c r="O45" s="1"/>
      <c r="P45" s="132">
        <v>43922</v>
      </c>
      <c r="Q45" s="133">
        <v>43800</v>
      </c>
      <c r="R45" s="59">
        <v>2.1999999999999999E-2</v>
      </c>
      <c r="S45" s="59">
        <f t="shared" si="20"/>
        <v>0.29700000000000004</v>
      </c>
      <c r="T45" s="34">
        <v>55.36</v>
      </c>
      <c r="U45" s="34">
        <v>3.9</v>
      </c>
      <c r="V45" s="2">
        <v>291.89999999999998</v>
      </c>
      <c r="W45" s="59">
        <f>(V45-V44)/V44</f>
        <v>2.2058823529411603E-2</v>
      </c>
      <c r="X45" s="59">
        <f t="shared" si="19"/>
        <v>2.2058823529411603E-2</v>
      </c>
      <c r="Y45" s="139">
        <f t="shared" si="21"/>
        <v>56.78</v>
      </c>
      <c r="Z45" s="34">
        <f t="shared" si="22"/>
        <v>57.31</v>
      </c>
      <c r="AA45" s="136"/>
      <c r="AB45" s="167" t="s">
        <v>147</v>
      </c>
      <c r="AC45" s="136"/>
      <c r="AD45" s="136"/>
      <c r="AE45" s="136"/>
      <c r="AU45" s="168"/>
    </row>
    <row r="46" spans="1:59" x14ac:dyDescent="0.25">
      <c r="A46" s="47">
        <v>41851</v>
      </c>
      <c r="B46" s="2">
        <v>8673</v>
      </c>
      <c r="C46" s="14">
        <f t="shared" si="17"/>
        <v>41851</v>
      </c>
      <c r="D46" s="54">
        <f t="shared" si="0"/>
        <v>41851</v>
      </c>
      <c r="E46" s="55">
        <f t="shared" si="2"/>
        <v>7</v>
      </c>
      <c r="F46" s="55">
        <f t="shared" si="3"/>
        <v>2014</v>
      </c>
      <c r="G46" s="56">
        <f t="shared" si="8"/>
        <v>8.387096774193548</v>
      </c>
      <c r="H46" s="56"/>
      <c r="I46" s="56"/>
      <c r="M46" s="1">
        <v>14</v>
      </c>
      <c r="N46" s="1"/>
      <c r="O46" s="1"/>
      <c r="P46" s="132">
        <v>44287</v>
      </c>
      <c r="Q46" s="133">
        <v>44166</v>
      </c>
      <c r="T46" s="34">
        <v>56.03</v>
      </c>
      <c r="U46" s="34">
        <v>3.95</v>
      </c>
      <c r="X46" s="59"/>
      <c r="Y46" s="136"/>
      <c r="Z46" s="34">
        <f t="shared" si="22"/>
        <v>58.005000000000003</v>
      </c>
      <c r="AA46" s="136"/>
      <c r="AB46" s="167" t="s">
        <v>148</v>
      </c>
      <c r="AC46" s="136"/>
      <c r="AD46" s="136"/>
      <c r="AE46" s="136"/>
      <c r="AU46" s="168"/>
      <c r="AV46" s="168"/>
    </row>
    <row r="47" spans="1:59" x14ac:dyDescent="0.25">
      <c r="A47" s="47">
        <v>41882</v>
      </c>
      <c r="B47" s="2">
        <v>8935</v>
      </c>
      <c r="C47" s="14">
        <f t="shared" si="17"/>
        <v>41882</v>
      </c>
      <c r="D47" s="54">
        <f t="shared" si="0"/>
        <v>41882</v>
      </c>
      <c r="E47" s="55">
        <f t="shared" si="2"/>
        <v>8</v>
      </c>
      <c r="F47" s="55">
        <f t="shared" si="3"/>
        <v>2014</v>
      </c>
      <c r="G47" s="56">
        <f t="shared" si="8"/>
        <v>8.4516129032258061</v>
      </c>
      <c r="H47" s="56"/>
      <c r="I47" s="56"/>
      <c r="M47" s="1">
        <v>15</v>
      </c>
      <c r="N47" s="1"/>
      <c r="O47" s="1"/>
      <c r="P47" s="132">
        <v>44652</v>
      </c>
      <c r="Q47" s="133">
        <v>44531</v>
      </c>
      <c r="T47" s="34">
        <v>60.23</v>
      </c>
      <c r="U47" s="34">
        <v>4.25</v>
      </c>
      <c r="W47" s="59"/>
      <c r="Z47" s="34">
        <f t="shared" si="22"/>
        <v>62.354999999999997</v>
      </c>
      <c r="AB47" s="167" t="s">
        <v>149</v>
      </c>
    </row>
    <row r="48" spans="1:59" x14ac:dyDescent="0.25">
      <c r="A48" s="47">
        <v>41912</v>
      </c>
      <c r="B48" s="2">
        <v>9125</v>
      </c>
      <c r="C48" s="14">
        <f t="shared" si="17"/>
        <v>41912</v>
      </c>
      <c r="D48" s="54">
        <f t="shared" si="0"/>
        <v>41912</v>
      </c>
      <c r="E48" s="55">
        <f t="shared" si="2"/>
        <v>9</v>
      </c>
      <c r="F48" s="55">
        <f t="shared" si="3"/>
        <v>2014</v>
      </c>
      <c r="G48" s="56">
        <f t="shared" si="8"/>
        <v>6.333333333333333</v>
      </c>
      <c r="H48" s="56"/>
      <c r="I48" s="56"/>
      <c r="M48" s="1">
        <v>16</v>
      </c>
      <c r="N48" s="1"/>
      <c r="O48" s="1"/>
      <c r="P48" s="132">
        <v>45017</v>
      </c>
      <c r="Q48" s="133">
        <v>44896</v>
      </c>
      <c r="T48" s="34">
        <v>68.3</v>
      </c>
      <c r="U48" s="34">
        <v>4.82</v>
      </c>
      <c r="Z48" s="34">
        <f t="shared" si="22"/>
        <v>70.709999999999994</v>
      </c>
      <c r="AB48" s="167" t="s">
        <v>150</v>
      </c>
      <c r="AU48" s="168"/>
    </row>
    <row r="49" spans="1:28" x14ac:dyDescent="0.25">
      <c r="A49" s="47">
        <v>41943</v>
      </c>
      <c r="B49" s="2">
        <v>9255</v>
      </c>
      <c r="C49" s="14">
        <f t="shared" si="17"/>
        <v>41943</v>
      </c>
      <c r="D49" s="54">
        <f t="shared" si="0"/>
        <v>41943</v>
      </c>
      <c r="E49" s="55">
        <f t="shared" si="2"/>
        <v>10</v>
      </c>
      <c r="F49" s="55">
        <f t="shared" si="3"/>
        <v>2014</v>
      </c>
      <c r="G49" s="56">
        <f t="shared" si="8"/>
        <v>4.193548387096774</v>
      </c>
      <c r="H49" s="56"/>
      <c r="I49" s="56"/>
      <c r="M49" s="1">
        <v>17</v>
      </c>
      <c r="N49" s="1"/>
      <c r="O49" s="1"/>
      <c r="P49" s="132">
        <v>45383</v>
      </c>
      <c r="Q49" s="133">
        <v>45261</v>
      </c>
      <c r="T49" s="34">
        <v>71.849999999999994</v>
      </c>
      <c r="U49" s="34">
        <v>5.07</v>
      </c>
      <c r="Z49" s="34">
        <f t="shared" si="22"/>
        <v>74.384999999999991</v>
      </c>
      <c r="AB49" s="167" t="s">
        <v>151</v>
      </c>
    </row>
    <row r="50" spans="1:28" x14ac:dyDescent="0.25">
      <c r="A50" s="47">
        <v>41973</v>
      </c>
      <c r="B50" s="2">
        <v>9325</v>
      </c>
      <c r="C50" s="14">
        <f t="shared" si="17"/>
        <v>41973</v>
      </c>
      <c r="D50" s="54">
        <f t="shared" si="0"/>
        <v>41973</v>
      </c>
      <c r="E50" s="55">
        <f t="shared" si="2"/>
        <v>11</v>
      </c>
      <c r="F50" s="55">
        <f t="shared" si="3"/>
        <v>2014</v>
      </c>
      <c r="G50" s="56">
        <f t="shared" si="8"/>
        <v>2.3333333333333335</v>
      </c>
      <c r="H50" s="56"/>
      <c r="I50" s="56"/>
      <c r="M50" s="1">
        <v>18</v>
      </c>
      <c r="N50" s="1"/>
      <c r="O50" s="1"/>
      <c r="P50" s="132">
        <v>45748</v>
      </c>
      <c r="Q50" s="133">
        <v>45627</v>
      </c>
      <c r="T50" s="102"/>
      <c r="U50" s="102"/>
    </row>
    <row r="51" spans="1:28" x14ac:dyDescent="0.25">
      <c r="A51" s="47">
        <v>42004</v>
      </c>
      <c r="B51" s="2">
        <v>9414</v>
      </c>
      <c r="C51" s="14">
        <f t="shared" si="17"/>
        <v>42004</v>
      </c>
      <c r="D51" s="54">
        <f t="shared" si="0"/>
        <v>42004</v>
      </c>
      <c r="E51" s="55">
        <f t="shared" si="2"/>
        <v>12</v>
      </c>
      <c r="F51" s="55">
        <f t="shared" si="3"/>
        <v>2014</v>
      </c>
      <c r="G51" s="56">
        <f t="shared" si="8"/>
        <v>2.870967741935484</v>
      </c>
      <c r="H51" s="56"/>
      <c r="I51" s="56"/>
      <c r="M51" s="1">
        <v>19</v>
      </c>
      <c r="N51" s="1"/>
      <c r="O51" s="1"/>
      <c r="P51" s="132">
        <v>46113</v>
      </c>
      <c r="Q51" s="133">
        <v>45992</v>
      </c>
      <c r="T51" s="102"/>
      <c r="U51" s="102"/>
    </row>
    <row r="52" spans="1:28" x14ac:dyDescent="0.25">
      <c r="A52" s="47">
        <v>42035</v>
      </c>
      <c r="B52" s="2">
        <v>9517</v>
      </c>
      <c r="C52" s="14">
        <f t="shared" si="17"/>
        <v>42035</v>
      </c>
      <c r="D52" s="54">
        <f t="shared" si="0"/>
        <v>42035</v>
      </c>
      <c r="E52" s="55">
        <f t="shared" si="2"/>
        <v>1</v>
      </c>
      <c r="F52" s="55">
        <f t="shared" si="3"/>
        <v>2015</v>
      </c>
      <c r="G52" s="56">
        <f t="shared" si="8"/>
        <v>3.3225806451612905</v>
      </c>
      <c r="H52" s="56"/>
      <c r="I52" s="56"/>
      <c r="M52" s="1">
        <v>20</v>
      </c>
      <c r="N52" s="1"/>
      <c r="O52" s="1"/>
      <c r="P52" s="132">
        <v>46478</v>
      </c>
      <c r="Q52" s="133">
        <v>46357</v>
      </c>
      <c r="T52" s="102"/>
      <c r="U52" s="102"/>
    </row>
    <row r="53" spans="1:28" x14ac:dyDescent="0.25">
      <c r="A53" s="47">
        <v>42063</v>
      </c>
      <c r="B53" s="2">
        <v>9644</v>
      </c>
      <c r="C53" s="14">
        <f t="shared" si="17"/>
        <v>42063</v>
      </c>
      <c r="D53" s="54">
        <f t="shared" si="0"/>
        <v>42063</v>
      </c>
      <c r="E53" s="55">
        <f t="shared" si="2"/>
        <v>2</v>
      </c>
      <c r="F53" s="55">
        <f t="shared" si="3"/>
        <v>2015</v>
      </c>
      <c r="G53" s="56">
        <f t="shared" si="8"/>
        <v>4.5357142857142856</v>
      </c>
      <c r="H53" s="56"/>
      <c r="I53" s="56"/>
      <c r="P53" s="132">
        <v>46844</v>
      </c>
      <c r="Q53" s="133">
        <v>46722</v>
      </c>
      <c r="T53" s="102"/>
      <c r="U53" s="102"/>
    </row>
    <row r="54" spans="1:28" x14ac:dyDescent="0.25">
      <c r="A54" s="47">
        <v>42094</v>
      </c>
      <c r="B54" s="2">
        <v>9900</v>
      </c>
      <c r="C54" s="14">
        <f t="shared" si="17"/>
        <v>42094</v>
      </c>
      <c r="D54" s="54">
        <f t="shared" si="0"/>
        <v>42094</v>
      </c>
      <c r="E54" s="55">
        <f t="shared" si="2"/>
        <v>3</v>
      </c>
      <c r="F54" s="55">
        <f t="shared" si="3"/>
        <v>2015</v>
      </c>
      <c r="G54" s="56">
        <f t="shared" si="8"/>
        <v>8.258064516129032</v>
      </c>
      <c r="H54" s="56"/>
      <c r="I54" s="56"/>
      <c r="P54" s="132">
        <v>47209</v>
      </c>
      <c r="Q54" s="133">
        <v>47088</v>
      </c>
      <c r="T54" s="102"/>
      <c r="U54" s="102"/>
    </row>
    <row r="55" spans="1:28" x14ac:dyDescent="0.25">
      <c r="A55" s="47">
        <v>42124</v>
      </c>
      <c r="B55" s="2">
        <v>10234</v>
      </c>
      <c r="C55" s="14">
        <f t="shared" si="17"/>
        <v>42124</v>
      </c>
      <c r="D55" s="54">
        <f t="shared" si="0"/>
        <v>42124</v>
      </c>
      <c r="E55" s="55">
        <f t="shared" si="2"/>
        <v>4</v>
      </c>
      <c r="F55" s="55">
        <f t="shared" si="3"/>
        <v>2015</v>
      </c>
      <c r="G55" s="56">
        <f t="shared" si="8"/>
        <v>11.133333333333333</v>
      </c>
      <c r="H55" s="56"/>
      <c r="I55" s="56"/>
      <c r="P55" s="132">
        <v>47574</v>
      </c>
      <c r="Q55" s="133">
        <v>47453</v>
      </c>
      <c r="T55" s="102"/>
      <c r="U55" s="102"/>
    </row>
    <row r="56" spans="1:28" x14ac:dyDescent="0.25">
      <c r="A56" s="47">
        <v>42155</v>
      </c>
      <c r="B56" s="2">
        <v>10550</v>
      </c>
      <c r="C56" s="14">
        <f t="shared" si="17"/>
        <v>42155</v>
      </c>
      <c r="D56" s="54">
        <f t="shared" si="0"/>
        <v>42155</v>
      </c>
      <c r="E56" s="55">
        <f t="shared" si="2"/>
        <v>5</v>
      </c>
      <c r="F56" s="55">
        <f t="shared" si="3"/>
        <v>2015</v>
      </c>
      <c r="G56" s="56">
        <f t="shared" si="8"/>
        <v>10.193548387096774</v>
      </c>
      <c r="H56" s="56"/>
      <c r="I56" s="56"/>
    </row>
    <row r="57" spans="1:28" x14ac:dyDescent="0.25">
      <c r="A57" s="47">
        <v>42185</v>
      </c>
      <c r="B57" s="2">
        <v>10817</v>
      </c>
      <c r="C57" s="14">
        <f t="shared" si="17"/>
        <v>42185</v>
      </c>
      <c r="D57" s="54">
        <f t="shared" si="0"/>
        <v>42185</v>
      </c>
      <c r="E57" s="55">
        <f t="shared" si="2"/>
        <v>6</v>
      </c>
      <c r="F57" s="55">
        <f t="shared" si="3"/>
        <v>2015</v>
      </c>
      <c r="G57" s="56">
        <f t="shared" si="8"/>
        <v>8.9</v>
      </c>
      <c r="H57" s="56"/>
      <c r="I57" s="56"/>
    </row>
    <row r="58" spans="1:28" x14ac:dyDescent="0.25">
      <c r="A58" s="47">
        <v>42216</v>
      </c>
      <c r="B58" s="2">
        <v>11061</v>
      </c>
      <c r="C58" s="14">
        <f t="shared" si="17"/>
        <v>42216</v>
      </c>
      <c r="D58" s="54">
        <f t="shared" si="0"/>
        <v>42216</v>
      </c>
      <c r="E58" s="55">
        <f t="shared" si="2"/>
        <v>7</v>
      </c>
      <c r="F58" s="55">
        <f t="shared" si="3"/>
        <v>2015</v>
      </c>
      <c r="G58" s="56">
        <f t="shared" si="8"/>
        <v>7.870967741935484</v>
      </c>
      <c r="H58" s="56"/>
      <c r="I58" s="56"/>
    </row>
    <row r="59" spans="1:28" x14ac:dyDescent="0.25">
      <c r="A59" s="47">
        <v>42247</v>
      </c>
      <c r="B59" s="2">
        <v>11250</v>
      </c>
      <c r="C59" s="14">
        <f t="shared" si="17"/>
        <v>42247</v>
      </c>
      <c r="D59" s="54">
        <f t="shared" si="0"/>
        <v>42247</v>
      </c>
      <c r="E59" s="55">
        <f t="shared" si="2"/>
        <v>8</v>
      </c>
      <c r="F59" s="55">
        <f t="shared" si="3"/>
        <v>2015</v>
      </c>
      <c r="G59" s="56">
        <f t="shared" si="8"/>
        <v>6.096774193548387</v>
      </c>
      <c r="H59" s="56"/>
      <c r="I59" s="56"/>
    </row>
    <row r="60" spans="1:28" x14ac:dyDescent="0.25">
      <c r="A60" s="47">
        <v>42277</v>
      </c>
      <c r="B60" s="2">
        <v>11483</v>
      </c>
      <c r="C60" s="14">
        <f t="shared" si="17"/>
        <v>42277</v>
      </c>
      <c r="D60" s="54">
        <f t="shared" si="0"/>
        <v>42277</v>
      </c>
      <c r="E60" s="55">
        <f t="shared" si="2"/>
        <v>9</v>
      </c>
      <c r="F60" s="55">
        <f t="shared" si="3"/>
        <v>2015</v>
      </c>
      <c r="G60" s="56">
        <f t="shared" si="8"/>
        <v>7.7666666666666666</v>
      </c>
      <c r="H60" s="56"/>
      <c r="I60" s="56"/>
    </row>
    <row r="61" spans="1:28" x14ac:dyDescent="0.25">
      <c r="A61" s="47">
        <v>42308</v>
      </c>
      <c r="B61" s="2">
        <v>11626</v>
      </c>
      <c r="C61" s="14">
        <f t="shared" si="17"/>
        <v>42308</v>
      </c>
      <c r="D61" s="54">
        <f t="shared" si="0"/>
        <v>42308</v>
      </c>
      <c r="E61" s="55">
        <f t="shared" si="2"/>
        <v>10</v>
      </c>
      <c r="F61" s="55">
        <f t="shared" si="3"/>
        <v>2015</v>
      </c>
      <c r="G61" s="56">
        <f t="shared" si="8"/>
        <v>4.612903225806452</v>
      </c>
      <c r="H61" s="56"/>
      <c r="I61" s="56"/>
    </row>
    <row r="62" spans="1:28" x14ac:dyDescent="0.25">
      <c r="A62" s="47">
        <v>42338</v>
      </c>
      <c r="B62" s="2">
        <v>11684</v>
      </c>
      <c r="C62" s="14">
        <f t="shared" si="17"/>
        <v>42338</v>
      </c>
      <c r="D62" s="54">
        <f t="shared" si="0"/>
        <v>42338</v>
      </c>
      <c r="E62" s="55">
        <f t="shared" si="2"/>
        <v>11</v>
      </c>
      <c r="F62" s="55">
        <f t="shared" si="3"/>
        <v>2015</v>
      </c>
      <c r="G62" s="56">
        <f t="shared" si="8"/>
        <v>1.9333333333333333</v>
      </c>
      <c r="H62" s="56"/>
      <c r="I62" s="56"/>
    </row>
    <row r="63" spans="1:28" x14ac:dyDescent="0.25">
      <c r="A63" s="47">
        <v>42369</v>
      </c>
      <c r="B63" s="2">
        <v>11731</v>
      </c>
      <c r="C63" s="14">
        <f t="shared" si="17"/>
        <v>42369</v>
      </c>
      <c r="D63" s="54">
        <f t="shared" si="0"/>
        <v>42369</v>
      </c>
      <c r="E63" s="55">
        <f t="shared" si="2"/>
        <v>12</v>
      </c>
      <c r="F63" s="55">
        <f t="shared" si="3"/>
        <v>2015</v>
      </c>
      <c r="G63" s="56">
        <f t="shared" si="8"/>
        <v>1.5161290322580645</v>
      </c>
      <c r="H63" s="56"/>
      <c r="I63" s="56"/>
    </row>
    <row r="64" spans="1:28" x14ac:dyDescent="0.25">
      <c r="A64" s="47">
        <v>42400</v>
      </c>
      <c r="B64" s="2">
        <v>11808</v>
      </c>
      <c r="C64" s="14">
        <f t="shared" si="17"/>
        <v>42400</v>
      </c>
      <c r="D64" s="54">
        <f t="shared" si="0"/>
        <v>42400</v>
      </c>
      <c r="E64" s="55">
        <f t="shared" si="2"/>
        <v>1</v>
      </c>
      <c r="F64" s="55">
        <f t="shared" si="3"/>
        <v>2016</v>
      </c>
      <c r="G64" s="56">
        <f t="shared" si="8"/>
        <v>2.4838709677419355</v>
      </c>
      <c r="H64" s="56"/>
      <c r="I64" s="56"/>
    </row>
    <row r="65" spans="1:9" x14ac:dyDescent="0.25">
      <c r="A65" s="47">
        <v>42429</v>
      </c>
      <c r="B65" s="2">
        <v>11940</v>
      </c>
      <c r="C65" s="14">
        <f t="shared" si="17"/>
        <v>42429</v>
      </c>
      <c r="D65" s="54">
        <f t="shared" si="0"/>
        <v>42429</v>
      </c>
      <c r="E65" s="55">
        <f t="shared" si="2"/>
        <v>2</v>
      </c>
      <c r="F65" s="55">
        <f t="shared" si="3"/>
        <v>2016</v>
      </c>
      <c r="G65" s="56">
        <f t="shared" si="8"/>
        <v>4.5517241379310347</v>
      </c>
      <c r="H65" s="56"/>
      <c r="I65" s="56"/>
    </row>
    <row r="66" spans="1:9" x14ac:dyDescent="0.25">
      <c r="A66" s="47">
        <v>42460</v>
      </c>
      <c r="B66" s="2">
        <v>12161</v>
      </c>
      <c r="C66" s="14">
        <f t="shared" si="17"/>
        <v>42460</v>
      </c>
      <c r="D66" s="54">
        <f t="shared" si="0"/>
        <v>42460</v>
      </c>
      <c r="E66" s="55">
        <f t="shared" si="2"/>
        <v>3</v>
      </c>
      <c r="F66" s="55">
        <f t="shared" si="3"/>
        <v>2016</v>
      </c>
      <c r="G66" s="56">
        <f t="shared" si="8"/>
        <v>7.129032258064516</v>
      </c>
      <c r="H66" s="56"/>
      <c r="I66" s="56"/>
    </row>
    <row r="67" spans="1:9" x14ac:dyDescent="0.25">
      <c r="A67" s="47">
        <v>42490</v>
      </c>
      <c r="B67" s="2">
        <v>12440</v>
      </c>
      <c r="C67" s="14">
        <f t="shared" si="17"/>
        <v>42490</v>
      </c>
      <c r="D67" s="54">
        <f t="shared" si="0"/>
        <v>42490</v>
      </c>
      <c r="E67" s="55">
        <f t="shared" si="2"/>
        <v>4</v>
      </c>
      <c r="F67" s="55">
        <f t="shared" si="3"/>
        <v>2016</v>
      </c>
      <c r="G67" s="56">
        <f t="shared" si="8"/>
        <v>9.3000000000000007</v>
      </c>
      <c r="H67" s="56"/>
      <c r="I67" s="56"/>
    </row>
    <row r="68" spans="1:9" x14ac:dyDescent="0.25">
      <c r="A68" s="47">
        <v>42521</v>
      </c>
      <c r="B68" s="2">
        <v>12730</v>
      </c>
      <c r="C68" s="14">
        <f t="shared" si="17"/>
        <v>42521</v>
      </c>
      <c r="D68" s="54">
        <f t="shared" si="0"/>
        <v>42521</v>
      </c>
      <c r="E68" s="55">
        <f t="shared" si="2"/>
        <v>5</v>
      </c>
      <c r="F68" s="55">
        <f t="shared" si="3"/>
        <v>2016</v>
      </c>
      <c r="G68" s="56">
        <f t="shared" si="8"/>
        <v>9.3548387096774199</v>
      </c>
      <c r="H68" s="56"/>
      <c r="I68" s="56"/>
    </row>
    <row r="69" spans="1:9" x14ac:dyDescent="0.25">
      <c r="A69" s="47">
        <v>42551</v>
      </c>
      <c r="B69" s="2">
        <v>12933</v>
      </c>
      <c r="C69" s="14">
        <f t="shared" si="17"/>
        <v>42551</v>
      </c>
      <c r="D69" s="54">
        <f t="shared" ref="D69:D132" si="23">C69</f>
        <v>42551</v>
      </c>
      <c r="E69" s="55">
        <f t="shared" si="2"/>
        <v>6</v>
      </c>
      <c r="F69" s="55">
        <f t="shared" si="3"/>
        <v>2016</v>
      </c>
      <c r="G69" s="56">
        <f t="shared" si="8"/>
        <v>6.7666666666666666</v>
      </c>
      <c r="H69" s="56"/>
      <c r="I69" s="56"/>
    </row>
    <row r="70" spans="1:9" x14ac:dyDescent="0.25">
      <c r="A70" s="47">
        <v>42582</v>
      </c>
      <c r="B70" s="2">
        <v>13156</v>
      </c>
      <c r="C70" s="14">
        <f t="shared" si="17"/>
        <v>42582</v>
      </c>
      <c r="D70" s="54">
        <f t="shared" si="23"/>
        <v>42582</v>
      </c>
      <c r="E70" s="55">
        <f t="shared" ref="E70:E133" si="24">MONTH(C70)</f>
        <v>7</v>
      </c>
      <c r="F70" s="55">
        <f t="shared" ref="F70:F133" si="25">YEAR(C70)</f>
        <v>2016</v>
      </c>
      <c r="G70" s="56">
        <f t="shared" si="8"/>
        <v>7.193548387096774</v>
      </c>
      <c r="H70" s="56"/>
      <c r="I70" s="56"/>
    </row>
    <row r="71" spans="1:9" x14ac:dyDescent="0.25">
      <c r="A71" s="47">
        <v>42613</v>
      </c>
      <c r="B71" s="2">
        <v>13408</v>
      </c>
      <c r="C71" s="14">
        <f t="shared" si="17"/>
        <v>42613</v>
      </c>
      <c r="D71" s="54">
        <f t="shared" si="23"/>
        <v>42613</v>
      </c>
      <c r="E71" s="55">
        <f t="shared" si="24"/>
        <v>8</v>
      </c>
      <c r="F71" s="55">
        <f t="shared" si="25"/>
        <v>2016</v>
      </c>
      <c r="G71" s="56">
        <f t="shared" si="8"/>
        <v>8.129032258064516</v>
      </c>
      <c r="H71" s="56"/>
      <c r="I71" s="56"/>
    </row>
    <row r="72" spans="1:9" x14ac:dyDescent="0.25">
      <c r="A72" s="47">
        <v>42643</v>
      </c>
      <c r="B72" s="2">
        <v>13576</v>
      </c>
      <c r="C72" s="14">
        <f t="shared" si="17"/>
        <v>42643</v>
      </c>
      <c r="D72" s="54">
        <f t="shared" si="23"/>
        <v>42643</v>
      </c>
      <c r="E72" s="55">
        <f t="shared" si="24"/>
        <v>9</v>
      </c>
      <c r="F72" s="55">
        <f t="shared" si="25"/>
        <v>2016</v>
      </c>
      <c r="G72" s="56">
        <f t="shared" ref="G72:G141" si="26">(B72-B71)/(A72-A71)</f>
        <v>5.6</v>
      </c>
      <c r="H72" s="56"/>
      <c r="I72" s="56"/>
    </row>
    <row r="73" spans="1:9" x14ac:dyDescent="0.25">
      <c r="A73" s="47">
        <v>42674</v>
      </c>
      <c r="B73" s="2">
        <v>13717</v>
      </c>
      <c r="C73" s="14">
        <f t="shared" si="17"/>
        <v>42674</v>
      </c>
      <c r="D73" s="54">
        <f t="shared" si="23"/>
        <v>42674</v>
      </c>
      <c r="E73" s="55">
        <f t="shared" si="24"/>
        <v>10</v>
      </c>
      <c r="F73" s="55">
        <f t="shared" si="25"/>
        <v>2016</v>
      </c>
      <c r="G73" s="56">
        <f t="shared" si="26"/>
        <v>4.5483870967741939</v>
      </c>
      <c r="H73" s="56"/>
      <c r="I73" s="56"/>
    </row>
    <row r="74" spans="1:9" x14ac:dyDescent="0.25">
      <c r="A74" s="47">
        <v>42704</v>
      </c>
      <c r="B74" s="2">
        <v>13835</v>
      </c>
      <c r="C74" s="14">
        <f t="shared" si="17"/>
        <v>42704</v>
      </c>
      <c r="D74" s="54">
        <f t="shared" si="23"/>
        <v>42704</v>
      </c>
      <c r="E74" s="55">
        <f t="shared" si="24"/>
        <v>11</v>
      </c>
      <c r="F74" s="55">
        <f t="shared" si="25"/>
        <v>2016</v>
      </c>
      <c r="G74" s="56">
        <f t="shared" si="26"/>
        <v>3.9333333333333331</v>
      </c>
      <c r="H74" s="56"/>
      <c r="I74" s="56"/>
    </row>
    <row r="75" spans="1:9" x14ac:dyDescent="0.25">
      <c r="A75" s="47">
        <v>42735</v>
      </c>
      <c r="B75" s="2">
        <v>13916</v>
      </c>
      <c r="C75" s="14">
        <f t="shared" si="17"/>
        <v>42735</v>
      </c>
      <c r="D75" s="54">
        <f t="shared" si="23"/>
        <v>42735</v>
      </c>
      <c r="E75" s="55">
        <f t="shared" si="24"/>
        <v>12</v>
      </c>
      <c r="F75" s="55">
        <f t="shared" si="25"/>
        <v>2016</v>
      </c>
      <c r="G75" s="56">
        <f t="shared" si="26"/>
        <v>2.6129032258064515</v>
      </c>
      <c r="H75" s="56"/>
      <c r="I75" s="56"/>
    </row>
    <row r="76" spans="1:9" x14ac:dyDescent="0.25">
      <c r="A76" s="47">
        <v>42766</v>
      </c>
      <c r="B76" s="2">
        <v>14017</v>
      </c>
      <c r="C76" s="14">
        <f t="shared" si="17"/>
        <v>42766</v>
      </c>
      <c r="D76" s="54">
        <f t="shared" si="23"/>
        <v>42766</v>
      </c>
      <c r="E76" s="55">
        <f t="shared" si="24"/>
        <v>1</v>
      </c>
      <c r="F76" s="55">
        <f t="shared" si="25"/>
        <v>2017</v>
      </c>
      <c r="G76" s="56">
        <f t="shared" si="26"/>
        <v>3.2580645161290325</v>
      </c>
      <c r="H76" s="56"/>
      <c r="I76" s="56"/>
    </row>
    <row r="77" spans="1:9" x14ac:dyDescent="0.25">
      <c r="A77" s="47">
        <v>42794</v>
      </c>
      <c r="B77" s="2">
        <v>14120</v>
      </c>
      <c r="C77" s="14">
        <f t="shared" si="17"/>
        <v>42794</v>
      </c>
      <c r="D77" s="54">
        <f t="shared" si="23"/>
        <v>42794</v>
      </c>
      <c r="E77" s="55">
        <f t="shared" si="24"/>
        <v>2</v>
      </c>
      <c r="F77" s="55">
        <f t="shared" si="25"/>
        <v>2017</v>
      </c>
      <c r="G77" s="56">
        <f t="shared" si="26"/>
        <v>3.6785714285714284</v>
      </c>
      <c r="H77" s="56"/>
      <c r="I77" s="56"/>
    </row>
    <row r="78" spans="1:9" x14ac:dyDescent="0.25">
      <c r="A78" s="47">
        <v>42825</v>
      </c>
      <c r="B78" s="2">
        <v>14365</v>
      </c>
      <c r="C78" s="14">
        <f t="shared" si="17"/>
        <v>42825</v>
      </c>
      <c r="D78" s="54">
        <f t="shared" si="23"/>
        <v>42825</v>
      </c>
      <c r="E78" s="55">
        <f t="shared" si="24"/>
        <v>3</v>
      </c>
      <c r="F78" s="55">
        <f t="shared" si="25"/>
        <v>2017</v>
      </c>
      <c r="G78" s="56">
        <f t="shared" si="26"/>
        <v>7.903225806451613</v>
      </c>
      <c r="H78" s="56"/>
      <c r="I78" s="56"/>
    </row>
    <row r="79" spans="1:9" x14ac:dyDescent="0.25">
      <c r="A79" s="47">
        <v>42855</v>
      </c>
      <c r="B79" s="2">
        <v>14675</v>
      </c>
      <c r="C79" s="14">
        <f t="shared" si="17"/>
        <v>42855</v>
      </c>
      <c r="D79" s="54">
        <f t="shared" si="23"/>
        <v>42855</v>
      </c>
      <c r="E79" s="55">
        <f t="shared" si="24"/>
        <v>4</v>
      </c>
      <c r="F79" s="55">
        <f t="shared" si="25"/>
        <v>2017</v>
      </c>
      <c r="G79" s="56">
        <f t="shared" si="26"/>
        <v>10.333333333333334</v>
      </c>
      <c r="H79" s="56"/>
      <c r="I79" s="56"/>
    </row>
    <row r="80" spans="1:9" x14ac:dyDescent="0.25">
      <c r="A80" s="47">
        <v>42886</v>
      </c>
      <c r="B80" s="2">
        <v>14942</v>
      </c>
      <c r="C80" s="14">
        <f t="shared" si="17"/>
        <v>42886</v>
      </c>
      <c r="D80" s="54">
        <f t="shared" si="23"/>
        <v>42886</v>
      </c>
      <c r="E80" s="55">
        <f t="shared" si="24"/>
        <v>5</v>
      </c>
      <c r="F80" s="55">
        <f t="shared" si="25"/>
        <v>2017</v>
      </c>
      <c r="G80" s="56">
        <f t="shared" si="26"/>
        <v>8.612903225806452</v>
      </c>
      <c r="H80" s="56"/>
      <c r="I80" s="56"/>
    </row>
    <row r="81" spans="1:9" x14ac:dyDescent="0.25">
      <c r="A81" s="47">
        <v>42916</v>
      </c>
      <c r="B81" s="2">
        <v>15220</v>
      </c>
      <c r="C81" s="14">
        <f t="shared" si="17"/>
        <v>42916</v>
      </c>
      <c r="D81" s="54">
        <f t="shared" si="23"/>
        <v>42916</v>
      </c>
      <c r="E81" s="55">
        <f t="shared" si="24"/>
        <v>6</v>
      </c>
      <c r="F81" s="55">
        <f t="shared" si="25"/>
        <v>2017</v>
      </c>
      <c r="G81" s="56">
        <f t="shared" si="26"/>
        <v>9.2666666666666675</v>
      </c>
      <c r="H81" s="56"/>
      <c r="I81" s="56"/>
    </row>
    <row r="82" spans="1:9" x14ac:dyDescent="0.25">
      <c r="A82" s="47">
        <v>42947</v>
      </c>
      <c r="B82" s="2">
        <v>15471</v>
      </c>
      <c r="C82" s="14">
        <f t="shared" si="17"/>
        <v>42947</v>
      </c>
      <c r="D82" s="54">
        <f t="shared" si="23"/>
        <v>42947</v>
      </c>
      <c r="E82" s="55">
        <f t="shared" si="24"/>
        <v>7</v>
      </c>
      <c r="F82" s="55">
        <f t="shared" si="25"/>
        <v>2017</v>
      </c>
      <c r="G82" s="56">
        <f t="shared" si="26"/>
        <v>8.0967741935483879</v>
      </c>
      <c r="H82" s="56"/>
      <c r="I82" s="56"/>
    </row>
    <row r="83" spans="1:9" x14ac:dyDescent="0.25">
      <c r="A83" s="47">
        <v>42978</v>
      </c>
      <c r="B83" s="2">
        <v>15719</v>
      </c>
      <c r="C83" s="14">
        <f t="shared" si="17"/>
        <v>42978</v>
      </c>
      <c r="D83" s="54">
        <f t="shared" si="23"/>
        <v>42978</v>
      </c>
      <c r="E83" s="55">
        <f t="shared" si="24"/>
        <v>8</v>
      </c>
      <c r="F83" s="55">
        <f t="shared" si="25"/>
        <v>2017</v>
      </c>
      <c r="G83" s="56">
        <f t="shared" si="26"/>
        <v>8</v>
      </c>
      <c r="H83" s="56"/>
      <c r="I83" s="56"/>
    </row>
    <row r="84" spans="1:9" x14ac:dyDescent="0.25">
      <c r="A84" s="47">
        <v>43008</v>
      </c>
      <c r="B84" s="2">
        <v>15910</v>
      </c>
      <c r="C84" s="14">
        <f t="shared" si="17"/>
        <v>43008</v>
      </c>
      <c r="D84" s="54">
        <f t="shared" si="23"/>
        <v>43008</v>
      </c>
      <c r="E84" s="55">
        <f t="shared" si="24"/>
        <v>9</v>
      </c>
      <c r="F84" s="55">
        <f t="shared" si="25"/>
        <v>2017</v>
      </c>
      <c r="G84" s="56">
        <f t="shared" si="26"/>
        <v>6.3666666666666663</v>
      </c>
      <c r="H84" s="56"/>
      <c r="I84" s="56"/>
    </row>
    <row r="85" spans="1:9" x14ac:dyDescent="0.25">
      <c r="A85" s="47">
        <v>43039</v>
      </c>
      <c r="B85" s="2">
        <v>16055</v>
      </c>
      <c r="C85" s="14">
        <f t="shared" si="17"/>
        <v>43039</v>
      </c>
      <c r="D85" s="54">
        <f t="shared" si="23"/>
        <v>43039</v>
      </c>
      <c r="E85" s="55">
        <f t="shared" si="24"/>
        <v>10</v>
      </c>
      <c r="F85" s="55">
        <f t="shared" si="25"/>
        <v>2017</v>
      </c>
      <c r="G85" s="56">
        <f t="shared" si="26"/>
        <v>4.67741935483871</v>
      </c>
      <c r="H85" s="56"/>
      <c r="I85" s="56"/>
    </row>
    <row r="86" spans="1:9" x14ac:dyDescent="0.25">
      <c r="A86" s="47">
        <v>43069</v>
      </c>
      <c r="B86" s="2">
        <v>16180</v>
      </c>
      <c r="C86" s="14">
        <f t="shared" si="17"/>
        <v>43069</v>
      </c>
      <c r="D86" s="54">
        <f t="shared" si="23"/>
        <v>43069</v>
      </c>
      <c r="E86" s="55">
        <f t="shared" si="24"/>
        <v>11</v>
      </c>
      <c r="F86" s="55">
        <f t="shared" si="25"/>
        <v>2017</v>
      </c>
      <c r="G86" s="56">
        <f t="shared" si="26"/>
        <v>4.166666666666667</v>
      </c>
      <c r="H86" s="56"/>
      <c r="I86" s="56"/>
    </row>
    <row r="87" spans="1:9" x14ac:dyDescent="0.25">
      <c r="A87" s="47">
        <v>43100</v>
      </c>
      <c r="B87" s="2">
        <v>16252</v>
      </c>
      <c r="C87" s="14">
        <f t="shared" si="17"/>
        <v>43100</v>
      </c>
      <c r="D87" s="54">
        <f t="shared" si="23"/>
        <v>43100</v>
      </c>
      <c r="E87" s="55">
        <f t="shared" si="24"/>
        <v>12</v>
      </c>
      <c r="F87" s="55">
        <f t="shared" si="25"/>
        <v>2017</v>
      </c>
      <c r="G87" s="56">
        <f t="shared" si="26"/>
        <v>2.3225806451612905</v>
      </c>
      <c r="H87" s="56"/>
      <c r="I87" s="56"/>
    </row>
    <row r="88" spans="1:9" x14ac:dyDescent="0.25">
      <c r="A88" s="47">
        <v>43131</v>
      </c>
      <c r="B88" s="2">
        <v>16334</v>
      </c>
      <c r="C88" s="14">
        <f t="shared" si="17"/>
        <v>43131</v>
      </c>
      <c r="D88" s="54">
        <f t="shared" si="23"/>
        <v>43131</v>
      </c>
      <c r="E88" s="55">
        <f t="shared" si="24"/>
        <v>1</v>
      </c>
      <c r="F88" s="55">
        <f t="shared" si="25"/>
        <v>2018</v>
      </c>
      <c r="G88" s="56">
        <f t="shared" si="26"/>
        <v>2.6451612903225805</v>
      </c>
      <c r="H88" s="56"/>
      <c r="I88" s="56"/>
    </row>
    <row r="89" spans="1:9" x14ac:dyDescent="0.25">
      <c r="A89" s="47">
        <v>43159</v>
      </c>
      <c r="B89" s="2">
        <v>16499</v>
      </c>
      <c r="C89" s="14">
        <f t="shared" si="17"/>
        <v>43159</v>
      </c>
      <c r="D89" s="54">
        <f t="shared" si="23"/>
        <v>43159</v>
      </c>
      <c r="E89" s="55">
        <f t="shared" si="24"/>
        <v>2</v>
      </c>
      <c r="F89" s="55">
        <f t="shared" si="25"/>
        <v>2018</v>
      </c>
      <c r="G89" s="56">
        <f t="shared" si="26"/>
        <v>5.8928571428571432</v>
      </c>
      <c r="H89" s="56"/>
      <c r="I89" s="56"/>
    </row>
    <row r="90" spans="1:9" x14ac:dyDescent="0.25">
      <c r="A90" s="47">
        <v>43190</v>
      </c>
      <c r="B90" s="2">
        <v>16662</v>
      </c>
      <c r="C90" s="14">
        <f t="shared" si="17"/>
        <v>43190</v>
      </c>
      <c r="D90" s="54">
        <f t="shared" si="23"/>
        <v>43190</v>
      </c>
      <c r="E90" s="55">
        <f t="shared" si="24"/>
        <v>3</v>
      </c>
      <c r="F90" s="55">
        <f t="shared" si="25"/>
        <v>2018</v>
      </c>
      <c r="G90" s="56">
        <f t="shared" si="26"/>
        <v>5.258064516129032</v>
      </c>
      <c r="H90" s="56"/>
      <c r="I90" s="56"/>
    </row>
    <row r="91" spans="1:9" x14ac:dyDescent="0.25">
      <c r="A91" s="47">
        <v>43220</v>
      </c>
      <c r="B91" s="2">
        <v>16887</v>
      </c>
      <c r="C91" s="14">
        <f t="shared" si="17"/>
        <v>43220</v>
      </c>
      <c r="D91" s="54">
        <f t="shared" si="23"/>
        <v>43220</v>
      </c>
      <c r="E91" s="55">
        <f t="shared" si="24"/>
        <v>4</v>
      </c>
      <c r="F91" s="55">
        <f t="shared" si="25"/>
        <v>2018</v>
      </c>
      <c r="G91" s="56">
        <f t="shared" si="26"/>
        <v>7.5</v>
      </c>
      <c r="H91" s="56"/>
      <c r="I91" s="56"/>
    </row>
    <row r="92" spans="1:9" x14ac:dyDescent="0.25">
      <c r="A92" s="47">
        <v>43251</v>
      </c>
      <c r="B92" s="2">
        <v>17203</v>
      </c>
      <c r="C92" s="14">
        <f t="shared" ref="C92:C155" si="27">A92</f>
        <v>43251</v>
      </c>
      <c r="D92" s="54">
        <f t="shared" si="23"/>
        <v>43251</v>
      </c>
      <c r="E92" s="55">
        <f t="shared" si="24"/>
        <v>5</v>
      </c>
      <c r="F92" s="55">
        <f t="shared" si="25"/>
        <v>2018</v>
      </c>
      <c r="G92" s="56">
        <f t="shared" si="26"/>
        <v>10.193548387096774</v>
      </c>
      <c r="H92" s="56"/>
      <c r="I92" s="56"/>
    </row>
    <row r="93" spans="1:9" x14ac:dyDescent="0.25">
      <c r="A93" s="47">
        <v>43281</v>
      </c>
      <c r="B93" s="2">
        <v>17488</v>
      </c>
      <c r="C93" s="14">
        <f t="shared" si="27"/>
        <v>43281</v>
      </c>
      <c r="D93" s="54">
        <f t="shared" si="23"/>
        <v>43281</v>
      </c>
      <c r="E93" s="55">
        <f t="shared" si="24"/>
        <v>6</v>
      </c>
      <c r="F93" s="55">
        <f t="shared" si="25"/>
        <v>2018</v>
      </c>
      <c r="G93" s="56">
        <f t="shared" si="26"/>
        <v>9.5</v>
      </c>
      <c r="H93" s="56"/>
      <c r="I93" s="56"/>
    </row>
    <row r="94" spans="1:9" x14ac:dyDescent="0.25">
      <c r="A94" s="47">
        <v>43312</v>
      </c>
      <c r="B94" s="2">
        <v>17744</v>
      </c>
      <c r="C94" s="14">
        <f t="shared" si="27"/>
        <v>43312</v>
      </c>
      <c r="D94" s="54">
        <f t="shared" si="23"/>
        <v>43312</v>
      </c>
      <c r="E94" s="55">
        <f t="shared" si="24"/>
        <v>7</v>
      </c>
      <c r="F94" s="55">
        <f t="shared" si="25"/>
        <v>2018</v>
      </c>
      <c r="G94" s="56">
        <f t="shared" si="26"/>
        <v>8.258064516129032</v>
      </c>
      <c r="H94" s="56"/>
      <c r="I94" s="56"/>
    </row>
    <row r="95" spans="1:9" x14ac:dyDescent="0.25">
      <c r="A95" s="47">
        <v>43343</v>
      </c>
      <c r="B95" s="2">
        <v>17964</v>
      </c>
      <c r="C95" s="14">
        <f t="shared" si="27"/>
        <v>43343</v>
      </c>
      <c r="D95" s="54">
        <f t="shared" si="23"/>
        <v>43343</v>
      </c>
      <c r="E95" s="55">
        <f t="shared" si="24"/>
        <v>8</v>
      </c>
      <c r="F95" s="55">
        <f t="shared" si="25"/>
        <v>2018</v>
      </c>
      <c r="G95" s="56">
        <f t="shared" si="26"/>
        <v>7.096774193548387</v>
      </c>
      <c r="H95" s="56"/>
      <c r="I95" s="56"/>
    </row>
    <row r="96" spans="1:9" x14ac:dyDescent="0.25">
      <c r="A96" s="47">
        <v>43373</v>
      </c>
      <c r="B96" s="2">
        <v>18230</v>
      </c>
      <c r="C96" s="14">
        <f t="shared" si="27"/>
        <v>43373</v>
      </c>
      <c r="D96" s="54">
        <f t="shared" si="23"/>
        <v>43373</v>
      </c>
      <c r="E96" s="55">
        <f t="shared" si="24"/>
        <v>9</v>
      </c>
      <c r="F96" s="55">
        <f t="shared" si="25"/>
        <v>2018</v>
      </c>
      <c r="G96" s="56">
        <f t="shared" si="26"/>
        <v>8.8666666666666671</v>
      </c>
      <c r="H96" s="56"/>
      <c r="I96" s="56"/>
    </row>
    <row r="97" spans="1:9" x14ac:dyDescent="0.25">
      <c r="A97" s="47">
        <v>43404</v>
      </c>
      <c r="B97" s="2">
        <v>18446</v>
      </c>
      <c r="C97" s="14">
        <f t="shared" si="27"/>
        <v>43404</v>
      </c>
      <c r="D97" s="54">
        <f t="shared" si="23"/>
        <v>43404</v>
      </c>
      <c r="E97" s="55">
        <f t="shared" si="24"/>
        <v>10</v>
      </c>
      <c r="F97" s="55">
        <f t="shared" si="25"/>
        <v>2018</v>
      </c>
      <c r="G97" s="56">
        <f t="shared" si="26"/>
        <v>6.967741935483871</v>
      </c>
      <c r="H97" s="56"/>
      <c r="I97" s="56"/>
    </row>
    <row r="98" spans="1:9" x14ac:dyDescent="0.25">
      <c r="A98" s="47">
        <v>43434</v>
      </c>
      <c r="B98" s="2">
        <v>18550</v>
      </c>
      <c r="C98" s="14">
        <f t="shared" si="27"/>
        <v>43434</v>
      </c>
      <c r="D98" s="54">
        <f t="shared" si="23"/>
        <v>43434</v>
      </c>
      <c r="E98" s="55">
        <f t="shared" si="24"/>
        <v>11</v>
      </c>
      <c r="F98" s="55">
        <f t="shared" si="25"/>
        <v>2018</v>
      </c>
      <c r="G98" s="56">
        <f t="shared" si="26"/>
        <v>3.4666666666666668</v>
      </c>
      <c r="H98" s="56"/>
      <c r="I98" s="56"/>
    </row>
    <row r="99" spans="1:9" x14ac:dyDescent="0.25">
      <c r="A99" s="47">
        <v>43465</v>
      </c>
      <c r="B99" s="2">
        <v>18617</v>
      </c>
      <c r="C99" s="14">
        <f t="shared" si="27"/>
        <v>43465</v>
      </c>
      <c r="D99" s="54">
        <f t="shared" si="23"/>
        <v>43465</v>
      </c>
      <c r="E99" s="55">
        <f t="shared" si="24"/>
        <v>12</v>
      </c>
      <c r="F99" s="55">
        <f t="shared" si="25"/>
        <v>2018</v>
      </c>
      <c r="G99" s="56">
        <f t="shared" si="26"/>
        <v>2.161290322580645</v>
      </c>
      <c r="H99" s="56"/>
      <c r="I99" s="56"/>
    </row>
    <row r="100" spans="1:9" x14ac:dyDescent="0.25">
      <c r="A100" s="47">
        <v>43496</v>
      </c>
      <c r="B100" s="2">
        <v>18712</v>
      </c>
      <c r="C100" s="14">
        <f t="shared" si="27"/>
        <v>43496</v>
      </c>
      <c r="D100" s="54">
        <f t="shared" si="23"/>
        <v>43496</v>
      </c>
      <c r="E100" s="55">
        <f t="shared" si="24"/>
        <v>1</v>
      </c>
      <c r="F100" s="55">
        <f t="shared" si="25"/>
        <v>2019</v>
      </c>
      <c r="G100" s="56">
        <f t="shared" si="26"/>
        <v>3.064516129032258</v>
      </c>
      <c r="H100" s="56"/>
      <c r="I100" s="56"/>
    </row>
    <row r="101" spans="1:9" x14ac:dyDescent="0.25">
      <c r="A101" s="47">
        <v>43524</v>
      </c>
      <c r="B101" s="2">
        <v>18902</v>
      </c>
      <c r="C101" s="14">
        <f t="shared" si="27"/>
        <v>43524</v>
      </c>
      <c r="D101" s="54">
        <f t="shared" si="23"/>
        <v>43524</v>
      </c>
      <c r="E101" s="55">
        <f t="shared" si="24"/>
        <v>2</v>
      </c>
      <c r="F101" s="55">
        <f t="shared" si="25"/>
        <v>2019</v>
      </c>
      <c r="G101" s="56">
        <f t="shared" si="26"/>
        <v>6.7857142857142856</v>
      </c>
      <c r="H101" s="56"/>
      <c r="I101" s="56"/>
    </row>
    <row r="102" spans="1:9" x14ac:dyDescent="0.25">
      <c r="A102" s="47">
        <v>43555</v>
      </c>
      <c r="B102" s="2">
        <v>19148</v>
      </c>
      <c r="C102" s="14">
        <f t="shared" si="27"/>
        <v>43555</v>
      </c>
      <c r="D102" s="169">
        <f t="shared" si="23"/>
        <v>43555</v>
      </c>
      <c r="E102" s="170">
        <f t="shared" si="24"/>
        <v>3</v>
      </c>
      <c r="F102" s="170">
        <f t="shared" si="25"/>
        <v>2019</v>
      </c>
      <c r="G102" s="171">
        <f t="shared" si="26"/>
        <v>7.935483870967742</v>
      </c>
      <c r="H102" s="171"/>
      <c r="I102" s="171"/>
    </row>
    <row r="103" spans="1:9" x14ac:dyDescent="0.25">
      <c r="A103" s="47">
        <v>43585</v>
      </c>
      <c r="B103" s="2">
        <v>19502</v>
      </c>
      <c r="C103" s="14">
        <f t="shared" si="27"/>
        <v>43585</v>
      </c>
      <c r="D103" s="169">
        <f t="shared" si="23"/>
        <v>43585</v>
      </c>
      <c r="E103" s="170">
        <f t="shared" si="24"/>
        <v>4</v>
      </c>
      <c r="F103" s="170">
        <f t="shared" si="25"/>
        <v>2019</v>
      </c>
      <c r="G103" s="171">
        <f t="shared" si="26"/>
        <v>11.8</v>
      </c>
      <c r="H103" s="171"/>
      <c r="I103" s="171"/>
    </row>
    <row r="104" spans="1:9" x14ac:dyDescent="0.25">
      <c r="A104" s="47">
        <v>43616</v>
      </c>
      <c r="B104" s="2">
        <v>19880</v>
      </c>
      <c r="C104" s="14">
        <f t="shared" si="27"/>
        <v>43616</v>
      </c>
      <c r="D104" s="169">
        <f t="shared" si="23"/>
        <v>43616</v>
      </c>
      <c r="E104" s="170">
        <f t="shared" si="24"/>
        <v>5</v>
      </c>
      <c r="F104" s="170">
        <f t="shared" si="25"/>
        <v>2019</v>
      </c>
      <c r="G104" s="171">
        <f t="shared" si="26"/>
        <v>12.193548387096774</v>
      </c>
      <c r="H104" s="171"/>
      <c r="I104" s="171"/>
    </row>
    <row r="105" spans="1:9" x14ac:dyDescent="0.25">
      <c r="A105" s="47">
        <v>43646</v>
      </c>
      <c r="B105" s="2">
        <v>20193</v>
      </c>
      <c r="C105" s="14">
        <f t="shared" si="27"/>
        <v>43646</v>
      </c>
      <c r="D105" s="169">
        <f t="shared" si="23"/>
        <v>43646</v>
      </c>
      <c r="E105" s="170">
        <f t="shared" si="24"/>
        <v>6</v>
      </c>
      <c r="F105" s="170">
        <f t="shared" si="25"/>
        <v>2019</v>
      </c>
      <c r="G105" s="171">
        <f t="shared" si="26"/>
        <v>10.433333333333334</v>
      </c>
      <c r="H105" s="171"/>
      <c r="I105" s="171"/>
    </row>
    <row r="106" spans="1:9" x14ac:dyDescent="0.25">
      <c r="A106" s="47">
        <v>43677</v>
      </c>
      <c r="B106" s="2">
        <v>20525</v>
      </c>
      <c r="C106" s="14">
        <f t="shared" si="27"/>
        <v>43677</v>
      </c>
      <c r="D106" s="169">
        <f t="shared" si="23"/>
        <v>43677</v>
      </c>
      <c r="E106" s="170">
        <f t="shared" si="24"/>
        <v>7</v>
      </c>
      <c r="F106" s="170">
        <f t="shared" si="25"/>
        <v>2019</v>
      </c>
      <c r="G106" s="171">
        <f t="shared" si="26"/>
        <v>10.709677419354838</v>
      </c>
      <c r="H106" s="171">
        <f>[1]SolarEdge!C9/1000</f>
        <v>84.415000000000006</v>
      </c>
      <c r="I106" s="171">
        <f>[1]SolarEdge!D9/1000</f>
        <v>95.52</v>
      </c>
    </row>
    <row r="107" spans="1:9" x14ac:dyDescent="0.25">
      <c r="A107" s="47">
        <v>43708</v>
      </c>
      <c r="B107" s="2">
        <v>20890</v>
      </c>
      <c r="C107" s="14">
        <f t="shared" si="27"/>
        <v>43708</v>
      </c>
      <c r="D107" s="169">
        <f t="shared" si="23"/>
        <v>43708</v>
      </c>
      <c r="E107" s="170">
        <f t="shared" si="24"/>
        <v>8</v>
      </c>
      <c r="F107" s="170">
        <f t="shared" si="25"/>
        <v>2019</v>
      </c>
      <c r="G107" s="171">
        <f t="shared" si="26"/>
        <v>11.774193548387096</v>
      </c>
      <c r="H107" s="171">
        <f>[1]SolarEdge!C10/1000</f>
        <v>250.387</v>
      </c>
      <c r="I107" s="171">
        <f>[1]SolarEdge!D10/1000</f>
        <v>242.38</v>
      </c>
    </row>
    <row r="108" spans="1:9" x14ac:dyDescent="0.25">
      <c r="A108" s="47">
        <v>43738</v>
      </c>
      <c r="B108" s="2">
        <v>21209</v>
      </c>
      <c r="C108" s="14">
        <f t="shared" si="27"/>
        <v>43738</v>
      </c>
      <c r="D108" s="169">
        <f t="shared" si="23"/>
        <v>43738</v>
      </c>
      <c r="E108" s="170">
        <v>9</v>
      </c>
      <c r="F108" s="170">
        <f t="shared" si="25"/>
        <v>2019</v>
      </c>
      <c r="G108" s="171">
        <f t="shared" si="26"/>
        <v>10.633333333333333</v>
      </c>
      <c r="H108" s="171">
        <f>[1]SolarEdge!C11/1000</f>
        <v>236.94399999999999</v>
      </c>
      <c r="I108" s="171">
        <f>[1]SolarEdge!D11/1000</f>
        <v>186.31800000000001</v>
      </c>
    </row>
    <row r="109" spans="1:9" x14ac:dyDescent="0.25">
      <c r="A109" s="47">
        <v>43769</v>
      </c>
      <c r="B109" s="2">
        <v>21376</v>
      </c>
      <c r="C109" s="14">
        <f t="shared" si="27"/>
        <v>43769</v>
      </c>
      <c r="D109" s="169">
        <f t="shared" si="23"/>
        <v>43769</v>
      </c>
      <c r="E109" s="170">
        <f t="shared" si="24"/>
        <v>10</v>
      </c>
      <c r="F109" s="170">
        <f t="shared" si="25"/>
        <v>2019</v>
      </c>
      <c r="G109" s="171">
        <f t="shared" si="26"/>
        <v>5.387096774193548</v>
      </c>
      <c r="H109" s="171">
        <f>[1]SolarEdge!C12/1000</f>
        <v>101.122</v>
      </c>
      <c r="I109" s="171">
        <f>[1]SolarEdge!D12/1000</f>
        <v>354.78</v>
      </c>
    </row>
    <row r="110" spans="1:9" x14ac:dyDescent="0.25">
      <c r="A110" s="47">
        <v>43799</v>
      </c>
      <c r="B110" s="2">
        <v>21475</v>
      </c>
      <c r="C110" s="14">
        <f t="shared" si="27"/>
        <v>43799</v>
      </c>
      <c r="D110" s="169">
        <f t="shared" si="23"/>
        <v>43799</v>
      </c>
      <c r="E110" s="170">
        <f t="shared" si="24"/>
        <v>11</v>
      </c>
      <c r="F110" s="170">
        <f t="shared" si="25"/>
        <v>2019</v>
      </c>
      <c r="G110" s="171">
        <f t="shared" si="26"/>
        <v>3.3</v>
      </c>
      <c r="H110" s="171">
        <f>[1]SolarEdge!C13/1000</f>
        <v>43.97</v>
      </c>
      <c r="I110" s="171">
        <f>[1]SolarEdge!D13/1000</f>
        <v>636.69399999999996</v>
      </c>
    </row>
    <row r="111" spans="1:9" x14ac:dyDescent="0.25">
      <c r="A111" s="47">
        <v>43830</v>
      </c>
      <c r="B111" s="2">
        <v>21586</v>
      </c>
      <c r="C111" s="14">
        <f t="shared" si="27"/>
        <v>43830</v>
      </c>
      <c r="D111" s="169">
        <f t="shared" si="23"/>
        <v>43830</v>
      </c>
      <c r="E111" s="170">
        <f t="shared" si="24"/>
        <v>12</v>
      </c>
      <c r="F111" s="170">
        <f t="shared" si="25"/>
        <v>2019</v>
      </c>
      <c r="G111" s="171">
        <f t="shared" si="26"/>
        <v>3.5806451612903225</v>
      </c>
      <c r="H111" s="171">
        <f>[1]SolarEdge!C14/1000</f>
        <v>69.637</v>
      </c>
      <c r="I111" s="171">
        <f>[1]SolarEdge!D14/1000</f>
        <v>399.45299999999997</v>
      </c>
    </row>
    <row r="112" spans="1:9" x14ac:dyDescent="0.25">
      <c r="A112" s="47">
        <v>43861</v>
      </c>
      <c r="B112" s="2">
        <v>21689</v>
      </c>
      <c r="C112" s="14">
        <f t="shared" si="27"/>
        <v>43861</v>
      </c>
      <c r="D112" s="169">
        <f t="shared" si="23"/>
        <v>43861</v>
      </c>
      <c r="E112" s="170">
        <f t="shared" si="24"/>
        <v>1</v>
      </c>
      <c r="F112" s="170">
        <f t="shared" si="25"/>
        <v>2020</v>
      </c>
      <c r="G112" s="171">
        <f t="shared" si="26"/>
        <v>3.3225806451612905</v>
      </c>
      <c r="H112" s="171">
        <f>[1]SolarEdge!C15/1000</f>
        <v>57.369</v>
      </c>
      <c r="I112" s="171">
        <f>[1]SolarEdge!D15/1000</f>
        <v>365.452</v>
      </c>
    </row>
    <row r="113" spans="1:9" x14ac:dyDescent="0.25">
      <c r="A113" s="47">
        <v>43890</v>
      </c>
      <c r="B113" s="2">
        <v>21849</v>
      </c>
      <c r="C113" s="14">
        <f t="shared" si="27"/>
        <v>43890</v>
      </c>
      <c r="D113" s="169">
        <f t="shared" si="23"/>
        <v>43890</v>
      </c>
      <c r="E113" s="170">
        <f t="shared" si="24"/>
        <v>2</v>
      </c>
      <c r="F113" s="170">
        <f t="shared" si="25"/>
        <v>2020</v>
      </c>
      <c r="G113" s="171">
        <f t="shared" si="26"/>
        <v>5.5172413793103452</v>
      </c>
      <c r="H113" s="171">
        <f>[1]SolarEdge!C16/1000</f>
        <v>94.555000000000007</v>
      </c>
      <c r="I113" s="171">
        <f>[1]SolarEdge!D16/1000</f>
        <v>363.50599999999997</v>
      </c>
    </row>
    <row r="114" spans="1:9" x14ac:dyDescent="0.25">
      <c r="A114" s="47">
        <v>43921</v>
      </c>
      <c r="B114" s="2">
        <v>22181</v>
      </c>
      <c r="C114" s="14">
        <f t="shared" si="27"/>
        <v>43921</v>
      </c>
      <c r="D114" s="169">
        <f t="shared" si="23"/>
        <v>43921</v>
      </c>
      <c r="E114" s="170">
        <f t="shared" si="24"/>
        <v>3</v>
      </c>
      <c r="F114" s="170">
        <f t="shared" si="25"/>
        <v>2020</v>
      </c>
      <c r="G114" s="171">
        <f t="shared" si="26"/>
        <v>10.709677419354838</v>
      </c>
      <c r="H114" s="171">
        <f>[1]SolarEdge!C17/1000</f>
        <v>238.71899999999999</v>
      </c>
      <c r="I114" s="171">
        <f>[1]SolarEdge!D17/1000</f>
        <v>295.95699999999999</v>
      </c>
    </row>
    <row r="115" spans="1:9" x14ac:dyDescent="0.25">
      <c r="A115" s="47">
        <v>43951</v>
      </c>
      <c r="B115" s="2">
        <v>22642</v>
      </c>
      <c r="C115" s="14">
        <f t="shared" si="27"/>
        <v>43951</v>
      </c>
      <c r="D115" s="169">
        <f t="shared" si="23"/>
        <v>43951</v>
      </c>
      <c r="E115" s="170">
        <f t="shared" si="24"/>
        <v>4</v>
      </c>
      <c r="F115" s="170">
        <f t="shared" si="25"/>
        <v>2020</v>
      </c>
      <c r="G115" s="171">
        <f t="shared" si="26"/>
        <v>15.366666666666667</v>
      </c>
      <c r="H115" s="171">
        <f>[1]SolarEdge!C18/1000</f>
        <v>325.392</v>
      </c>
      <c r="I115" s="171">
        <f>[1]SolarEdge!D18/1000</f>
        <v>255.511</v>
      </c>
    </row>
    <row r="116" spans="1:9" x14ac:dyDescent="0.25">
      <c r="A116" s="47">
        <v>43982</v>
      </c>
      <c r="B116" s="2">
        <v>23154</v>
      </c>
      <c r="C116" s="14">
        <f t="shared" si="27"/>
        <v>43982</v>
      </c>
      <c r="D116" s="169">
        <f t="shared" si="23"/>
        <v>43982</v>
      </c>
      <c r="E116" s="170">
        <f t="shared" si="24"/>
        <v>5</v>
      </c>
      <c r="F116" s="170">
        <f t="shared" si="25"/>
        <v>2020</v>
      </c>
      <c r="G116" s="171">
        <f t="shared" si="26"/>
        <v>16.516129032258064</v>
      </c>
      <c r="H116" s="171">
        <f>[1]SolarEdge!C19/1000</f>
        <v>355.28</v>
      </c>
      <c r="I116" s="171">
        <f>[1]SolarEdge!D19/1000</f>
        <v>240.94300000000001</v>
      </c>
    </row>
    <row r="117" spans="1:9" x14ac:dyDescent="0.25">
      <c r="A117" s="47">
        <v>44012</v>
      </c>
      <c r="B117" s="2">
        <v>23536</v>
      </c>
      <c r="C117" s="14">
        <f t="shared" si="27"/>
        <v>44012</v>
      </c>
      <c r="D117" s="169">
        <f t="shared" si="23"/>
        <v>44012</v>
      </c>
      <c r="E117" s="170">
        <f t="shared" si="24"/>
        <v>6</v>
      </c>
      <c r="F117" s="170">
        <f t="shared" si="25"/>
        <v>2020</v>
      </c>
      <c r="G117" s="171">
        <f t="shared" si="26"/>
        <v>12.733333333333333</v>
      </c>
      <c r="H117" s="171">
        <f>[1]SolarEdge!C20/1000</f>
        <v>247.76300000000001</v>
      </c>
      <c r="I117" s="171">
        <f>[1]SolarEdge!D20/1000</f>
        <v>248.32599999999999</v>
      </c>
    </row>
    <row r="118" spans="1:9" x14ac:dyDescent="0.25">
      <c r="A118" s="47">
        <v>44043</v>
      </c>
      <c r="B118" s="2">
        <v>23903</v>
      </c>
      <c r="C118" s="14">
        <f t="shared" si="27"/>
        <v>44043</v>
      </c>
      <c r="D118" s="169">
        <f t="shared" si="23"/>
        <v>44043</v>
      </c>
      <c r="E118" s="170">
        <f t="shared" si="24"/>
        <v>7</v>
      </c>
      <c r="F118" s="170">
        <f t="shared" si="25"/>
        <v>2020</v>
      </c>
      <c r="G118" s="171">
        <f t="shared" si="26"/>
        <v>11.838709677419354</v>
      </c>
      <c r="H118" s="171">
        <f>[1]SolarEdge!C21/1000</f>
        <v>252.02600000000001</v>
      </c>
      <c r="I118" s="171">
        <f>[1]SolarEdge!D21/1000</f>
        <v>263.87099999999998</v>
      </c>
    </row>
    <row r="119" spans="1:9" x14ac:dyDescent="0.25">
      <c r="A119" s="47">
        <v>44074</v>
      </c>
      <c r="B119" s="2">
        <v>24236</v>
      </c>
      <c r="C119" s="14">
        <f t="shared" si="27"/>
        <v>44074</v>
      </c>
      <c r="D119" s="169">
        <f t="shared" si="23"/>
        <v>44074</v>
      </c>
      <c r="E119" s="170">
        <f t="shared" si="24"/>
        <v>8</v>
      </c>
      <c r="F119" s="170">
        <f t="shared" si="25"/>
        <v>2020</v>
      </c>
      <c r="G119" s="171">
        <f t="shared" si="26"/>
        <v>10.741935483870968</v>
      </c>
      <c r="H119" s="171">
        <f>[1]SolarEdge!C22/1000</f>
        <v>196.02199999999999</v>
      </c>
      <c r="I119" s="171">
        <f>[1]SolarEdge!D22/1000</f>
        <v>284.04500000000002</v>
      </c>
    </row>
    <row r="120" spans="1:9" x14ac:dyDescent="0.25">
      <c r="A120" s="47">
        <v>44104</v>
      </c>
      <c r="B120" s="2">
        <v>24551</v>
      </c>
      <c r="C120" s="14">
        <f t="shared" si="27"/>
        <v>44104</v>
      </c>
      <c r="D120" s="169">
        <f t="shared" si="23"/>
        <v>44104</v>
      </c>
      <c r="E120" s="170">
        <f t="shared" si="24"/>
        <v>9</v>
      </c>
      <c r="F120" s="170">
        <f t="shared" si="25"/>
        <v>2020</v>
      </c>
      <c r="G120" s="171">
        <f t="shared" si="26"/>
        <v>10.5</v>
      </c>
      <c r="H120" s="171">
        <f>[1]SolarEdge!C23/1000</f>
        <v>215.74199999999999</v>
      </c>
      <c r="I120" s="171">
        <f>[1]SolarEdge!D23/1000</f>
        <v>276.84899999999999</v>
      </c>
    </row>
    <row r="121" spans="1:9" x14ac:dyDescent="0.25">
      <c r="A121" s="47">
        <v>44135</v>
      </c>
      <c r="B121" s="2">
        <v>24698</v>
      </c>
      <c r="C121" s="14">
        <f t="shared" si="27"/>
        <v>44135</v>
      </c>
      <c r="D121" s="169">
        <f t="shared" si="23"/>
        <v>44135</v>
      </c>
      <c r="E121" s="170">
        <f t="shared" si="24"/>
        <v>10</v>
      </c>
      <c r="F121" s="170">
        <f t="shared" si="25"/>
        <v>2020</v>
      </c>
      <c r="G121" s="171">
        <f t="shared" si="26"/>
        <v>4.741935483870968</v>
      </c>
      <c r="H121" s="171">
        <f>[1]SolarEdge!C24/1000</f>
        <v>75.632000000000005</v>
      </c>
      <c r="I121" s="171">
        <f>[1]SolarEdge!D24/1000</f>
        <v>386.714</v>
      </c>
    </row>
    <row r="122" spans="1:9" x14ac:dyDescent="0.25">
      <c r="A122" s="47">
        <v>44165</v>
      </c>
      <c r="B122" s="2">
        <v>24806</v>
      </c>
      <c r="C122" s="14">
        <f t="shared" si="27"/>
        <v>44165</v>
      </c>
      <c r="D122" s="169">
        <f t="shared" si="23"/>
        <v>44165</v>
      </c>
      <c r="E122" s="170">
        <f t="shared" si="24"/>
        <v>11</v>
      </c>
      <c r="F122" s="170">
        <f t="shared" si="25"/>
        <v>2020</v>
      </c>
      <c r="G122" s="171">
        <f t="shared" si="26"/>
        <v>3.6</v>
      </c>
      <c r="H122" s="171">
        <f>[1]SolarEdge!C25/1000</f>
        <v>52.935000000000002</v>
      </c>
      <c r="I122" s="171">
        <f>[1]SolarEdge!D25/1000</f>
        <v>371.82900000000001</v>
      </c>
    </row>
    <row r="123" spans="1:9" x14ac:dyDescent="0.25">
      <c r="A123" s="47">
        <v>44196</v>
      </c>
      <c r="B123" s="2">
        <v>24881</v>
      </c>
      <c r="C123" s="14">
        <f t="shared" si="27"/>
        <v>44196</v>
      </c>
      <c r="D123" s="169">
        <f t="shared" si="23"/>
        <v>44196</v>
      </c>
      <c r="E123" s="170">
        <f t="shared" si="24"/>
        <v>12</v>
      </c>
      <c r="F123" s="170">
        <f t="shared" si="25"/>
        <v>2020</v>
      </c>
      <c r="G123" s="171">
        <f t="shared" si="26"/>
        <v>2.4193548387096775</v>
      </c>
      <c r="H123" s="171">
        <f>[1]SolarEdge!C26/1000</f>
        <v>42.13</v>
      </c>
      <c r="I123" s="171">
        <f>[1]SolarEdge!D26/1000</f>
        <v>313.84800000000001</v>
      </c>
    </row>
    <row r="124" spans="1:9" x14ac:dyDescent="0.25">
      <c r="A124" s="47">
        <v>44227</v>
      </c>
      <c r="B124" s="2">
        <v>24960</v>
      </c>
      <c r="C124" s="14">
        <f t="shared" si="27"/>
        <v>44227</v>
      </c>
      <c r="D124" s="169">
        <f t="shared" si="23"/>
        <v>44227</v>
      </c>
      <c r="E124" s="170">
        <f t="shared" si="24"/>
        <v>1</v>
      </c>
      <c r="F124" s="170">
        <f t="shared" si="25"/>
        <v>2021</v>
      </c>
      <c r="G124" s="171">
        <f t="shared" si="26"/>
        <v>2.5483870967741935</v>
      </c>
      <c r="H124" s="171">
        <f>[1]SolarEdge!C27/1000</f>
        <v>38.988999999999997</v>
      </c>
      <c r="I124" s="171">
        <f>[1]SolarEdge!D27/1000</f>
        <v>316.21899999999999</v>
      </c>
    </row>
    <row r="125" spans="1:9" x14ac:dyDescent="0.25">
      <c r="A125" s="47">
        <v>44255</v>
      </c>
      <c r="B125" s="2">
        <v>25104</v>
      </c>
      <c r="C125" s="14">
        <f t="shared" si="27"/>
        <v>44255</v>
      </c>
      <c r="D125" s="169">
        <f t="shared" si="23"/>
        <v>44255</v>
      </c>
      <c r="E125" s="170">
        <f t="shared" si="24"/>
        <v>2</v>
      </c>
      <c r="F125" s="170">
        <f t="shared" si="25"/>
        <v>2021</v>
      </c>
      <c r="G125" s="171">
        <f t="shared" si="26"/>
        <v>5.1428571428571432</v>
      </c>
      <c r="H125" s="171">
        <f>[1]SolarEdge!C28/1000</f>
        <v>83.77</v>
      </c>
      <c r="I125" s="171">
        <f>[1]SolarEdge!D28/1000</f>
        <v>270.411</v>
      </c>
    </row>
    <row r="126" spans="1:9" x14ac:dyDescent="0.25">
      <c r="A126" s="47">
        <v>44286</v>
      </c>
      <c r="B126" s="2">
        <v>25358</v>
      </c>
      <c r="C126" s="14">
        <f t="shared" si="27"/>
        <v>44286</v>
      </c>
      <c r="D126" s="169">
        <f t="shared" si="23"/>
        <v>44286</v>
      </c>
      <c r="E126" s="170">
        <f t="shared" si="24"/>
        <v>3</v>
      </c>
      <c r="F126" s="170">
        <f t="shared" si="25"/>
        <v>2021</v>
      </c>
      <c r="G126" s="171">
        <f t="shared" si="26"/>
        <v>8.193548387096774</v>
      </c>
      <c r="H126" s="171">
        <f>[1]SolarEdge!C29/1000</f>
        <v>135.19800000000001</v>
      </c>
      <c r="I126" s="171">
        <f>[1]SolarEdge!D29/1000</f>
        <v>544.63300000000004</v>
      </c>
    </row>
    <row r="127" spans="1:9" x14ac:dyDescent="0.25">
      <c r="A127" s="47">
        <v>44316</v>
      </c>
      <c r="B127" s="2">
        <v>25768</v>
      </c>
      <c r="C127" s="14">
        <f t="shared" si="27"/>
        <v>44316</v>
      </c>
      <c r="D127" s="169">
        <f t="shared" si="23"/>
        <v>44316</v>
      </c>
      <c r="E127" s="170">
        <f t="shared" si="24"/>
        <v>4</v>
      </c>
      <c r="F127" s="170">
        <f t="shared" si="25"/>
        <v>2021</v>
      </c>
      <c r="G127" s="171">
        <f t="shared" si="26"/>
        <v>13.666666666666666</v>
      </c>
      <c r="H127" s="171">
        <f>[1]SolarEdge!C30/1000</f>
        <v>258.06099999999998</v>
      </c>
      <c r="I127" s="171">
        <f>[1]SolarEdge!D30/1000</f>
        <v>409.31599999999997</v>
      </c>
    </row>
    <row r="128" spans="1:9" x14ac:dyDescent="0.25">
      <c r="A128" s="47">
        <v>44347</v>
      </c>
      <c r="B128" s="2">
        <v>26123</v>
      </c>
      <c r="C128" s="14">
        <f t="shared" si="27"/>
        <v>44347</v>
      </c>
      <c r="D128" s="169">
        <f t="shared" si="23"/>
        <v>44347</v>
      </c>
      <c r="E128" s="170">
        <f t="shared" si="24"/>
        <v>5</v>
      </c>
      <c r="F128" s="170">
        <f t="shared" si="25"/>
        <v>2021</v>
      </c>
      <c r="G128" s="171">
        <f t="shared" si="26"/>
        <v>11.451612903225806</v>
      </c>
      <c r="H128" s="171">
        <f>[1]SolarEdge!C31/1000</f>
        <v>239.67500000000001</v>
      </c>
      <c r="I128" s="171">
        <f>[1]SolarEdge!D31/1000</f>
        <v>249.155</v>
      </c>
    </row>
    <row r="129" spans="1:9" x14ac:dyDescent="0.25">
      <c r="A129" s="47">
        <v>44377</v>
      </c>
      <c r="B129" s="2">
        <v>26472</v>
      </c>
      <c r="C129" s="14">
        <f t="shared" si="27"/>
        <v>44377</v>
      </c>
      <c r="D129" s="169">
        <f t="shared" si="23"/>
        <v>44377</v>
      </c>
      <c r="E129" s="170">
        <f t="shared" si="24"/>
        <v>6</v>
      </c>
      <c r="F129" s="170">
        <f t="shared" si="25"/>
        <v>2021</v>
      </c>
      <c r="G129" s="171">
        <f t="shared" si="26"/>
        <v>11.633333333333333</v>
      </c>
      <c r="H129" s="171">
        <f>[1]SolarEdge!C32/1000</f>
        <v>253.59399999999999</v>
      </c>
      <c r="I129" s="171">
        <f>[1]SolarEdge!D32/1000</f>
        <v>158.96199999999999</v>
      </c>
    </row>
    <row r="130" spans="1:9" x14ac:dyDescent="0.25">
      <c r="A130" s="47">
        <v>44408</v>
      </c>
      <c r="B130" s="2">
        <v>26818</v>
      </c>
      <c r="C130" s="14">
        <f t="shared" si="27"/>
        <v>44408</v>
      </c>
      <c r="D130" s="169">
        <f t="shared" si="23"/>
        <v>44408</v>
      </c>
      <c r="E130" s="170">
        <f t="shared" si="24"/>
        <v>7</v>
      </c>
      <c r="F130" s="170">
        <f t="shared" si="25"/>
        <v>2021</v>
      </c>
      <c r="G130" s="171">
        <f t="shared" si="26"/>
        <v>11.161290322580646</v>
      </c>
      <c r="H130" s="171">
        <f>[1]SolarEdge!C33/1000</f>
        <v>228.84399999999999</v>
      </c>
      <c r="I130" s="171">
        <f>[1]SolarEdge!D33/1000</f>
        <v>171.767</v>
      </c>
    </row>
    <row r="131" spans="1:9" x14ac:dyDescent="0.25">
      <c r="A131" s="47">
        <v>44439</v>
      </c>
      <c r="B131" s="2">
        <v>27119</v>
      </c>
      <c r="C131" s="14">
        <f t="shared" si="27"/>
        <v>44439</v>
      </c>
      <c r="D131" s="169">
        <f t="shared" si="23"/>
        <v>44439</v>
      </c>
      <c r="E131" s="170">
        <f t="shared" si="24"/>
        <v>8</v>
      </c>
      <c r="F131" s="170">
        <f t="shared" si="25"/>
        <v>2021</v>
      </c>
      <c r="G131" s="171">
        <f t="shared" si="26"/>
        <v>9.7096774193548381</v>
      </c>
      <c r="H131" s="171">
        <f>[1]SolarEdge!C34/1000</f>
        <v>204.7</v>
      </c>
      <c r="I131" s="171">
        <f>[1]SolarEdge!D34/1000</f>
        <v>161.87200000000001</v>
      </c>
    </row>
    <row r="132" spans="1:9" x14ac:dyDescent="0.25">
      <c r="A132" s="47">
        <v>44469</v>
      </c>
      <c r="B132" s="2">
        <v>27398</v>
      </c>
      <c r="C132" s="14">
        <f t="shared" si="27"/>
        <v>44469</v>
      </c>
      <c r="D132" s="169">
        <f t="shared" si="23"/>
        <v>44469</v>
      </c>
      <c r="E132" s="170">
        <f t="shared" si="24"/>
        <v>9</v>
      </c>
      <c r="F132" s="170">
        <f t="shared" si="25"/>
        <v>2021</v>
      </c>
      <c r="G132" s="171">
        <f t="shared" si="26"/>
        <v>9.3000000000000007</v>
      </c>
      <c r="H132" s="171">
        <f>[1]SolarEdge!C35/1000</f>
        <v>206.10599999999999</v>
      </c>
      <c r="I132" s="171">
        <f>[1]SolarEdge!D35/1000</f>
        <v>231.197</v>
      </c>
    </row>
    <row r="133" spans="1:9" x14ac:dyDescent="0.25">
      <c r="A133" s="47">
        <v>44500</v>
      </c>
      <c r="B133" s="2">
        <v>27603</v>
      </c>
      <c r="C133" s="14">
        <f t="shared" si="27"/>
        <v>44500</v>
      </c>
      <c r="D133" s="169">
        <f t="shared" ref="D133:D171" si="28">C133</f>
        <v>44500</v>
      </c>
      <c r="E133" s="170">
        <f t="shared" si="24"/>
        <v>10</v>
      </c>
      <c r="F133" s="170">
        <f t="shared" si="25"/>
        <v>2021</v>
      </c>
      <c r="G133" s="171">
        <f t="shared" si="26"/>
        <v>6.612903225806452</v>
      </c>
      <c r="H133" s="171">
        <f>[1]SolarEdge!C36/1000</f>
        <v>135.529</v>
      </c>
      <c r="I133" s="171">
        <f>[1]SolarEdge!D36/1000</f>
        <v>374.98899999999998</v>
      </c>
    </row>
    <row r="134" spans="1:9" x14ac:dyDescent="0.25">
      <c r="A134" s="47">
        <v>44530</v>
      </c>
      <c r="B134" s="2">
        <v>27732</v>
      </c>
      <c r="C134" s="14">
        <f t="shared" si="27"/>
        <v>44530</v>
      </c>
      <c r="D134" s="169">
        <f t="shared" si="28"/>
        <v>44530</v>
      </c>
      <c r="E134" s="170">
        <f t="shared" ref="E134:E171" si="29">MONTH(C134)</f>
        <v>11</v>
      </c>
      <c r="F134" s="170">
        <f t="shared" ref="F134:F171" si="30">YEAR(C134)</f>
        <v>2021</v>
      </c>
      <c r="G134" s="171">
        <f t="shared" si="26"/>
        <v>4.3</v>
      </c>
      <c r="H134" s="171">
        <f>[1]SolarEdge!C37/1000</f>
        <v>88.653000000000006</v>
      </c>
      <c r="I134" s="171">
        <f>[1]SolarEdge!D37/1000</f>
        <v>468.85</v>
      </c>
    </row>
    <row r="135" spans="1:9" x14ac:dyDescent="0.25">
      <c r="A135" s="47">
        <v>44561</v>
      </c>
      <c r="B135" s="2">
        <v>27779</v>
      </c>
      <c r="C135" s="14">
        <f t="shared" si="27"/>
        <v>44561</v>
      </c>
      <c r="D135" s="169">
        <f t="shared" si="28"/>
        <v>44561</v>
      </c>
      <c r="E135" s="170">
        <f t="shared" si="29"/>
        <v>12</v>
      </c>
      <c r="F135" s="170">
        <f t="shared" si="30"/>
        <v>2021</v>
      </c>
      <c r="G135" s="171">
        <f t="shared" si="26"/>
        <v>1.5161290322580645</v>
      </c>
      <c r="H135" s="171">
        <f>[1]SolarEdge!C38/1000</f>
        <v>19.641999999999999</v>
      </c>
      <c r="I135" s="171">
        <f>[1]SolarEdge!D38/1000</f>
        <v>587.84100000000001</v>
      </c>
    </row>
    <row r="136" spans="1:9" x14ac:dyDescent="0.25">
      <c r="A136" s="47">
        <v>44592</v>
      </c>
      <c r="B136" s="2">
        <v>27904</v>
      </c>
      <c r="C136" s="14">
        <f t="shared" si="27"/>
        <v>44592</v>
      </c>
      <c r="D136" s="169">
        <f t="shared" si="28"/>
        <v>44592</v>
      </c>
      <c r="E136" s="170">
        <f t="shared" si="29"/>
        <v>1</v>
      </c>
      <c r="F136" s="170">
        <f t="shared" si="30"/>
        <v>2022</v>
      </c>
      <c r="G136" s="171">
        <f t="shared" si="26"/>
        <v>4.032258064516129</v>
      </c>
      <c r="H136" s="171">
        <f>[1]SolarEdge!C39/1000</f>
        <v>69.218999999999994</v>
      </c>
      <c r="I136" s="171">
        <f>[1]SolarEdge!D39/1000</f>
        <v>588.58399999999995</v>
      </c>
    </row>
    <row r="137" spans="1:9" x14ac:dyDescent="0.25">
      <c r="A137" s="47">
        <v>44620</v>
      </c>
      <c r="B137" s="2">
        <v>28068</v>
      </c>
      <c r="C137" s="14">
        <f t="shared" si="27"/>
        <v>44620</v>
      </c>
      <c r="D137" s="169">
        <f t="shared" si="28"/>
        <v>44620</v>
      </c>
      <c r="E137" s="170">
        <f t="shared" si="29"/>
        <v>2</v>
      </c>
      <c r="F137" s="170">
        <f t="shared" si="30"/>
        <v>2022</v>
      </c>
      <c r="G137" s="171">
        <f t="shared" si="26"/>
        <v>5.8571428571428568</v>
      </c>
      <c r="H137" s="171">
        <f>[1]SolarEdge!C40/1000</f>
        <v>95.998999999999995</v>
      </c>
      <c r="I137" s="171">
        <f>[1]SolarEdge!D40/1000</f>
        <v>559.00300000000004</v>
      </c>
    </row>
    <row r="138" spans="1:9" x14ac:dyDescent="0.25">
      <c r="A138" s="47">
        <v>44651</v>
      </c>
      <c r="B138" s="2">
        <v>28378</v>
      </c>
      <c r="C138" s="14">
        <f t="shared" si="27"/>
        <v>44651</v>
      </c>
      <c r="D138" s="169">
        <f t="shared" si="28"/>
        <v>44651</v>
      </c>
      <c r="E138" s="170">
        <f t="shared" si="29"/>
        <v>3</v>
      </c>
      <c r="F138" s="170">
        <f t="shared" si="30"/>
        <v>2022</v>
      </c>
      <c r="G138" s="171">
        <f t="shared" si="26"/>
        <v>10</v>
      </c>
      <c r="H138" s="171">
        <f>[1]SolarEdge!C41/1000</f>
        <v>201.22</v>
      </c>
      <c r="I138" s="171">
        <f>[1]SolarEdge!D41/1000</f>
        <v>575.56799999999998</v>
      </c>
    </row>
    <row r="139" spans="1:9" x14ac:dyDescent="0.25">
      <c r="A139" s="47">
        <v>44681</v>
      </c>
      <c r="B139" s="2">
        <v>28740</v>
      </c>
      <c r="C139" s="14">
        <f t="shared" si="27"/>
        <v>44681</v>
      </c>
      <c r="D139" s="169">
        <f t="shared" si="28"/>
        <v>44681</v>
      </c>
      <c r="E139" s="170">
        <f t="shared" si="29"/>
        <v>4</v>
      </c>
      <c r="F139" s="170">
        <f t="shared" si="30"/>
        <v>2022</v>
      </c>
      <c r="G139" s="171">
        <f t="shared" si="26"/>
        <v>12.066666666666666</v>
      </c>
      <c r="H139" s="171">
        <f>[1]SolarEdge!C42/1000</f>
        <v>244.12200000000001</v>
      </c>
      <c r="I139" s="171">
        <f>[1]SolarEdge!D42/1000</f>
        <v>428.15300000000002</v>
      </c>
    </row>
    <row r="140" spans="1:9" x14ac:dyDescent="0.25">
      <c r="A140" s="47">
        <v>44712</v>
      </c>
      <c r="B140" s="2">
        <v>29123</v>
      </c>
      <c r="C140" s="14">
        <f t="shared" si="27"/>
        <v>44712</v>
      </c>
      <c r="D140" s="169">
        <f t="shared" si="28"/>
        <v>44712</v>
      </c>
      <c r="E140" s="170">
        <f t="shared" si="29"/>
        <v>5</v>
      </c>
      <c r="F140" s="170">
        <f t="shared" si="30"/>
        <v>2022</v>
      </c>
      <c r="G140" s="171">
        <f t="shared" si="26"/>
        <v>12.35483870967742</v>
      </c>
      <c r="H140" s="171">
        <f>[1]SolarEdge!C43/1000</f>
        <v>253.32599999999999</v>
      </c>
      <c r="I140" s="171">
        <f>[1]SolarEdge!D43/1000</f>
        <v>350.29</v>
      </c>
    </row>
    <row r="141" spans="1:9" x14ac:dyDescent="0.25">
      <c r="A141" s="47">
        <v>44742</v>
      </c>
      <c r="B141" s="2">
        <v>29502</v>
      </c>
      <c r="C141" s="14">
        <f t="shared" si="27"/>
        <v>44742</v>
      </c>
      <c r="D141" s="169">
        <f t="shared" si="28"/>
        <v>44742</v>
      </c>
      <c r="E141" s="170">
        <f t="shared" si="29"/>
        <v>6</v>
      </c>
      <c r="F141" s="170">
        <f t="shared" si="30"/>
        <v>2022</v>
      </c>
      <c r="G141" s="171">
        <f t="shared" si="26"/>
        <v>12.633333333333333</v>
      </c>
      <c r="H141" s="171">
        <f>[1]SolarEdge!C44/1000</f>
        <v>257.96600000000001</v>
      </c>
      <c r="I141" s="171">
        <f>[1]SolarEdge!D44/1000</f>
        <v>255.81800000000001</v>
      </c>
    </row>
    <row r="142" spans="1:9" x14ac:dyDescent="0.25">
      <c r="A142" s="47">
        <v>44773</v>
      </c>
      <c r="B142" s="2">
        <v>29897</v>
      </c>
      <c r="C142" s="14">
        <f t="shared" si="27"/>
        <v>44773</v>
      </c>
      <c r="D142" s="169">
        <f t="shared" si="28"/>
        <v>44773</v>
      </c>
      <c r="E142" s="170">
        <f t="shared" si="29"/>
        <v>7</v>
      </c>
      <c r="F142" s="170">
        <f t="shared" si="30"/>
        <v>2022</v>
      </c>
      <c r="G142" s="171">
        <f t="shared" ref="G142:G168" si="31">(B142-B141)/(A142-A141)</f>
        <v>12.741935483870968</v>
      </c>
      <c r="H142" s="171">
        <f>[1]SolarEdge!C45/1000</f>
        <v>260.69099999999997</v>
      </c>
      <c r="I142" s="171">
        <f>[1]SolarEdge!D45/1000</f>
        <v>255.13900000000001</v>
      </c>
    </row>
    <row r="143" spans="1:9" x14ac:dyDescent="0.25">
      <c r="A143" s="47">
        <v>44804</v>
      </c>
      <c r="B143" s="2">
        <v>30264</v>
      </c>
      <c r="C143" s="14">
        <f t="shared" si="27"/>
        <v>44804</v>
      </c>
      <c r="D143" s="169">
        <f t="shared" si="28"/>
        <v>44804</v>
      </c>
      <c r="E143" s="170">
        <f t="shared" si="29"/>
        <v>8</v>
      </c>
      <c r="F143" s="170">
        <f t="shared" si="30"/>
        <v>2022</v>
      </c>
      <c r="G143" s="171">
        <f t="shared" si="31"/>
        <v>11.838709677419354</v>
      </c>
      <c r="H143" s="171">
        <f>[1]SolarEdge!C46/1000</f>
        <v>255.95</v>
      </c>
      <c r="I143" s="171">
        <f>[1]SolarEdge!D46/1000</f>
        <v>236.46600000000001</v>
      </c>
    </row>
    <row r="144" spans="1:9" x14ac:dyDescent="0.25">
      <c r="A144" s="47">
        <v>44834</v>
      </c>
      <c r="B144" s="2">
        <v>30526</v>
      </c>
      <c r="C144" s="14">
        <f t="shared" si="27"/>
        <v>44834</v>
      </c>
      <c r="D144" s="169">
        <f t="shared" si="28"/>
        <v>44834</v>
      </c>
      <c r="E144" s="170">
        <f t="shared" si="29"/>
        <v>9</v>
      </c>
      <c r="F144" s="170">
        <f t="shared" si="30"/>
        <v>2022</v>
      </c>
      <c r="G144" s="171">
        <f t="shared" si="31"/>
        <v>8.7333333333333325</v>
      </c>
      <c r="H144" s="171">
        <f>[1]SolarEdge!C47/1000</f>
        <v>167.46299999999999</v>
      </c>
      <c r="I144" s="171">
        <f>[1]SolarEdge!D47/1000</f>
        <v>197.08199999999999</v>
      </c>
    </row>
    <row r="145" spans="1:9" x14ac:dyDescent="0.25">
      <c r="A145" s="47">
        <v>44865</v>
      </c>
      <c r="B145" s="2">
        <v>30762</v>
      </c>
      <c r="C145" s="14">
        <f t="shared" si="27"/>
        <v>44865</v>
      </c>
      <c r="D145" s="169">
        <f t="shared" si="28"/>
        <v>44865</v>
      </c>
      <c r="E145" s="170">
        <f t="shared" si="29"/>
        <v>10</v>
      </c>
      <c r="F145" s="170">
        <f t="shared" si="30"/>
        <v>2022</v>
      </c>
      <c r="G145" s="171">
        <f t="shared" si="31"/>
        <v>7.612903225806452</v>
      </c>
      <c r="H145" s="171">
        <f>[1]SolarEdge!C48/1000</f>
        <v>174.85400000000001</v>
      </c>
      <c r="I145" s="171">
        <f>[1]SolarEdge!D48/1000</f>
        <v>230.267</v>
      </c>
    </row>
    <row r="146" spans="1:9" x14ac:dyDescent="0.25">
      <c r="A146" s="47">
        <v>44895</v>
      </c>
      <c r="B146" s="2">
        <v>30867</v>
      </c>
      <c r="C146" s="14">
        <f t="shared" si="27"/>
        <v>44895</v>
      </c>
      <c r="D146" s="169">
        <f t="shared" si="28"/>
        <v>44895</v>
      </c>
      <c r="E146" s="170">
        <f t="shared" si="29"/>
        <v>11</v>
      </c>
      <c r="F146" s="170">
        <f t="shared" si="30"/>
        <v>2022</v>
      </c>
      <c r="G146" s="171">
        <f t="shared" si="31"/>
        <v>3.5</v>
      </c>
      <c r="H146" s="171">
        <f>[1]SolarEdge!C49/1000</f>
        <v>66.394000000000005</v>
      </c>
      <c r="I146" s="171">
        <f>[1]SolarEdge!D49/1000</f>
        <v>276.995</v>
      </c>
    </row>
    <row r="147" spans="1:9" x14ac:dyDescent="0.25">
      <c r="A147" s="47">
        <v>44926</v>
      </c>
      <c r="B147" s="2">
        <v>30944</v>
      </c>
      <c r="C147" s="14">
        <f t="shared" si="27"/>
        <v>44926</v>
      </c>
      <c r="D147" s="169">
        <f t="shared" si="28"/>
        <v>44926</v>
      </c>
      <c r="E147" s="170">
        <f t="shared" si="29"/>
        <v>12</v>
      </c>
      <c r="F147" s="170">
        <f t="shared" si="30"/>
        <v>2022</v>
      </c>
      <c r="G147" s="171">
        <f t="shared" si="31"/>
        <v>2.4838709677419355</v>
      </c>
      <c r="H147" s="171">
        <f>[1]SolarEdge!C50/1000</f>
        <v>41.512</v>
      </c>
      <c r="I147" s="171">
        <f>[1]SolarEdge!D50/1000</f>
        <v>441.91199999999998</v>
      </c>
    </row>
    <row r="148" spans="1:9" x14ac:dyDescent="0.25">
      <c r="A148" s="47">
        <v>44957</v>
      </c>
      <c r="B148" s="2">
        <v>31063</v>
      </c>
      <c r="C148" s="14">
        <f t="shared" si="27"/>
        <v>44957</v>
      </c>
      <c r="D148" s="169">
        <f t="shared" si="28"/>
        <v>44957</v>
      </c>
      <c r="E148" s="170">
        <f t="shared" si="29"/>
        <v>1</v>
      </c>
      <c r="F148" s="170">
        <f t="shared" si="30"/>
        <v>2023</v>
      </c>
      <c r="G148" s="171">
        <f t="shared" si="31"/>
        <v>3.838709677419355</v>
      </c>
      <c r="H148" s="171">
        <f>[1]SolarEdge!C51/1000</f>
        <v>78.037000000000006</v>
      </c>
      <c r="I148" s="171">
        <f>[1]SolarEdge!D51/1000</f>
        <v>398.661</v>
      </c>
    </row>
    <row r="149" spans="1:9" x14ac:dyDescent="0.25">
      <c r="A149" s="47">
        <v>44985</v>
      </c>
      <c r="B149" s="2">
        <v>31237</v>
      </c>
      <c r="C149" s="14">
        <f t="shared" si="27"/>
        <v>44985</v>
      </c>
      <c r="D149" s="169">
        <f t="shared" si="28"/>
        <v>44985</v>
      </c>
      <c r="E149" s="170">
        <f t="shared" si="29"/>
        <v>2</v>
      </c>
      <c r="F149" s="170">
        <f t="shared" si="30"/>
        <v>2023</v>
      </c>
      <c r="G149" s="171">
        <f t="shared" si="31"/>
        <v>6.2142857142857144</v>
      </c>
      <c r="H149" s="171">
        <f>[1]SolarEdge!C52/1000</f>
        <v>119.459</v>
      </c>
      <c r="I149" s="171">
        <f>[1]SolarEdge!D52/1000</f>
        <v>306.92099999999999</v>
      </c>
    </row>
    <row r="150" spans="1:9" x14ac:dyDescent="0.25">
      <c r="A150" s="47">
        <v>45016</v>
      </c>
      <c r="B150" s="2">
        <v>31428</v>
      </c>
      <c r="C150" s="14">
        <f t="shared" si="27"/>
        <v>45016</v>
      </c>
      <c r="D150" s="169">
        <f t="shared" si="28"/>
        <v>45016</v>
      </c>
      <c r="E150" s="170">
        <f t="shared" si="29"/>
        <v>3</v>
      </c>
      <c r="F150" s="170">
        <f t="shared" si="30"/>
        <v>2023</v>
      </c>
      <c r="G150" s="171">
        <f t="shared" si="31"/>
        <v>6.161290322580645</v>
      </c>
      <c r="H150" s="171">
        <f>[1]SolarEdge!C53/1000</f>
        <v>116.95699999999999</v>
      </c>
      <c r="I150" s="171">
        <f>[1]SolarEdge!D53/1000</f>
        <v>319.29899999999998</v>
      </c>
    </row>
    <row r="151" spans="1:9" x14ac:dyDescent="0.25">
      <c r="A151" s="47">
        <v>45046</v>
      </c>
      <c r="B151" s="2">
        <v>31759</v>
      </c>
      <c r="C151" s="14">
        <f t="shared" si="27"/>
        <v>45046</v>
      </c>
      <c r="D151" s="169">
        <f t="shared" si="28"/>
        <v>45046</v>
      </c>
      <c r="E151" s="170">
        <f t="shared" si="29"/>
        <v>4</v>
      </c>
      <c r="F151" s="170">
        <f t="shared" si="30"/>
        <v>2023</v>
      </c>
      <c r="G151" s="171">
        <f t="shared" si="31"/>
        <v>11.033333333333333</v>
      </c>
      <c r="H151" s="171">
        <f>[1]SolarEdge!C54/1000</f>
        <v>238.345</v>
      </c>
      <c r="I151" s="171">
        <f>[1]SolarEdge!D54/1000</f>
        <v>237.20599999999999</v>
      </c>
    </row>
    <row r="152" spans="1:9" x14ac:dyDescent="0.25">
      <c r="A152" s="47">
        <v>45077</v>
      </c>
      <c r="B152" s="2">
        <v>32108</v>
      </c>
      <c r="C152" s="14">
        <f t="shared" si="27"/>
        <v>45077</v>
      </c>
      <c r="D152" s="169">
        <f t="shared" si="28"/>
        <v>45077</v>
      </c>
      <c r="E152" s="170">
        <f t="shared" si="29"/>
        <v>5</v>
      </c>
      <c r="F152" s="170">
        <f t="shared" si="30"/>
        <v>2023</v>
      </c>
      <c r="G152" s="171">
        <f t="shared" si="31"/>
        <v>11.258064516129032</v>
      </c>
      <c r="H152" s="171">
        <f>[1]SolarEdge!C55/1000</f>
        <v>235.489</v>
      </c>
      <c r="I152" s="171">
        <f>[1]SolarEdge!D55/1000</f>
        <v>145.029</v>
      </c>
    </row>
    <row r="153" spans="1:9" x14ac:dyDescent="0.25">
      <c r="A153" s="47">
        <v>45107</v>
      </c>
      <c r="B153" s="2">
        <v>32492</v>
      </c>
      <c r="C153" s="14">
        <f t="shared" si="27"/>
        <v>45107</v>
      </c>
      <c r="D153" s="169">
        <f t="shared" si="28"/>
        <v>45107</v>
      </c>
      <c r="E153" s="170">
        <f t="shared" si="29"/>
        <v>6</v>
      </c>
      <c r="F153" s="170">
        <f t="shared" si="30"/>
        <v>2023</v>
      </c>
      <c r="G153" s="171">
        <f t="shared" si="31"/>
        <v>12.8</v>
      </c>
      <c r="H153" s="171">
        <f>[1]SolarEdge!C56/1000</f>
        <v>275.83199999999999</v>
      </c>
      <c r="I153" s="171">
        <f>[1]SolarEdge!D56/1000</f>
        <v>144.55699999999999</v>
      </c>
    </row>
    <row r="154" spans="1:9" x14ac:dyDescent="0.25">
      <c r="A154" s="47">
        <v>45138</v>
      </c>
      <c r="B154" s="2">
        <v>32787</v>
      </c>
      <c r="C154" s="14">
        <f t="shared" si="27"/>
        <v>45138</v>
      </c>
      <c r="D154" s="169">
        <f t="shared" si="28"/>
        <v>45138</v>
      </c>
      <c r="E154" s="170">
        <f t="shared" si="29"/>
        <v>7</v>
      </c>
      <c r="F154" s="170">
        <f t="shared" si="30"/>
        <v>2023</v>
      </c>
      <c r="G154" s="171">
        <f t="shared" si="31"/>
        <v>9.5161290322580641</v>
      </c>
      <c r="H154" s="171">
        <f>[1]SolarEdge!C57/1000</f>
        <v>193.411</v>
      </c>
      <c r="I154" s="171">
        <f>[1]SolarEdge!D57/1000</f>
        <v>161.798</v>
      </c>
    </row>
    <row r="155" spans="1:9" x14ac:dyDescent="0.25">
      <c r="A155" s="47">
        <v>45169</v>
      </c>
      <c r="B155" s="2">
        <v>33102</v>
      </c>
      <c r="C155" s="14">
        <f t="shared" si="27"/>
        <v>45169</v>
      </c>
      <c r="D155" s="169">
        <f t="shared" si="28"/>
        <v>45169</v>
      </c>
      <c r="E155" s="170">
        <f t="shared" si="29"/>
        <v>8</v>
      </c>
      <c r="F155" s="170">
        <f t="shared" si="30"/>
        <v>2023</v>
      </c>
      <c r="G155" s="171">
        <f t="shared" si="31"/>
        <v>10.161290322580646</v>
      </c>
      <c r="H155" s="171">
        <f>[1]SolarEdge!C58/1000</f>
        <v>216.65299999999999</v>
      </c>
      <c r="I155" s="171">
        <f>[1]SolarEdge!D58/1000</f>
        <v>183.63900000000001</v>
      </c>
    </row>
    <row r="156" spans="1:9" x14ac:dyDescent="0.25">
      <c r="A156" s="47">
        <v>45199</v>
      </c>
      <c r="B156" s="2">
        <v>33374</v>
      </c>
      <c r="C156" s="14">
        <f t="shared" ref="C156:C171" si="32">A156</f>
        <v>45199</v>
      </c>
      <c r="D156" s="169">
        <f t="shared" si="28"/>
        <v>45199</v>
      </c>
      <c r="E156" s="170">
        <f t="shared" si="29"/>
        <v>9</v>
      </c>
      <c r="F156" s="170">
        <f t="shared" si="30"/>
        <v>2023</v>
      </c>
      <c r="G156" s="171">
        <f t="shared" si="31"/>
        <v>9.0666666666666664</v>
      </c>
      <c r="H156" s="171">
        <f>[1]SolarEdge!C59/1000</f>
        <v>195.09200000000001</v>
      </c>
      <c r="I156" s="171">
        <f>[1]SolarEdge!D59/1000</f>
        <v>169.21199999999999</v>
      </c>
    </row>
    <row r="157" spans="1:9" x14ac:dyDescent="0.25">
      <c r="A157" s="47">
        <v>45230</v>
      </c>
      <c r="B157" s="2">
        <v>33580</v>
      </c>
      <c r="C157" s="14">
        <f t="shared" si="32"/>
        <v>45230</v>
      </c>
      <c r="D157" s="169">
        <f t="shared" si="28"/>
        <v>45230</v>
      </c>
      <c r="E157" s="170">
        <f t="shared" si="29"/>
        <v>10</v>
      </c>
      <c r="F157" s="170">
        <f t="shared" si="30"/>
        <v>2023</v>
      </c>
      <c r="G157" s="171">
        <f t="shared" si="31"/>
        <v>6.645161290322581</v>
      </c>
      <c r="H157" s="171">
        <f>[1]SolarEdge!C60/1000</f>
        <v>132.48500000000001</v>
      </c>
      <c r="I157" s="171">
        <f>[1]SolarEdge!D60/1000</f>
        <v>238.71</v>
      </c>
    </row>
    <row r="158" spans="1:9" x14ac:dyDescent="0.25">
      <c r="A158" s="47">
        <v>45260</v>
      </c>
      <c r="B158" s="2">
        <v>33703</v>
      </c>
      <c r="C158" s="14">
        <f t="shared" si="32"/>
        <v>45260</v>
      </c>
      <c r="D158" s="169">
        <f t="shared" si="28"/>
        <v>45260</v>
      </c>
      <c r="E158" s="170">
        <f t="shared" si="29"/>
        <v>11</v>
      </c>
      <c r="F158" s="170">
        <f t="shared" si="30"/>
        <v>2023</v>
      </c>
      <c r="G158" s="171">
        <f t="shared" si="31"/>
        <v>4.0999999999999996</v>
      </c>
      <c r="H158" s="171">
        <f>[1]SolarEdge!C61/1000</f>
        <v>80.353999999999999</v>
      </c>
      <c r="I158" s="171">
        <f>[1]SolarEdge!D61/1000</f>
        <v>345.30500000000001</v>
      </c>
    </row>
    <row r="159" spans="1:9" x14ac:dyDescent="0.25">
      <c r="A159" s="47">
        <v>45291</v>
      </c>
      <c r="B159" s="2">
        <v>33761</v>
      </c>
      <c r="C159" s="14">
        <f t="shared" si="32"/>
        <v>45291</v>
      </c>
      <c r="D159" s="169">
        <f t="shared" si="28"/>
        <v>45291</v>
      </c>
      <c r="E159" s="170">
        <f t="shared" si="29"/>
        <v>12</v>
      </c>
      <c r="F159" s="170">
        <f t="shared" si="30"/>
        <v>2023</v>
      </c>
      <c r="G159" s="171">
        <f t="shared" si="31"/>
        <v>1.8709677419354838</v>
      </c>
      <c r="H159" s="171">
        <f>[1]SolarEdge!C62/1000</f>
        <v>22.061</v>
      </c>
      <c r="I159" s="171">
        <f>[1]SolarEdge!D62/1000</f>
        <v>370.58100000000002</v>
      </c>
    </row>
    <row r="160" spans="1:9" x14ac:dyDescent="0.25">
      <c r="A160" s="47">
        <v>45322</v>
      </c>
      <c r="B160" s="2">
        <v>33874</v>
      </c>
      <c r="C160" s="14">
        <f t="shared" si="32"/>
        <v>45322</v>
      </c>
      <c r="D160" s="169">
        <f t="shared" si="28"/>
        <v>45322</v>
      </c>
      <c r="E160" s="170">
        <f t="shared" si="29"/>
        <v>1</v>
      </c>
      <c r="F160" s="170">
        <f t="shared" si="30"/>
        <v>2024</v>
      </c>
      <c r="G160" s="171">
        <f t="shared" si="31"/>
        <v>3.6451612903225805</v>
      </c>
      <c r="H160" s="171">
        <f>[1]SolarEdge!C63/1000</f>
        <v>55.027999999999999</v>
      </c>
      <c r="I160" s="171">
        <f>[1]SolarEdge!D63/1000</f>
        <v>405.38499999999999</v>
      </c>
    </row>
    <row r="161" spans="1:9" x14ac:dyDescent="0.25">
      <c r="A161" s="47">
        <v>45351</v>
      </c>
      <c r="B161" s="2">
        <v>33994</v>
      </c>
      <c r="C161" s="14">
        <f t="shared" si="32"/>
        <v>45351</v>
      </c>
      <c r="D161" s="169">
        <f t="shared" si="28"/>
        <v>45351</v>
      </c>
      <c r="E161" s="170">
        <f t="shared" si="29"/>
        <v>2</v>
      </c>
      <c r="F161" s="170">
        <f t="shared" si="30"/>
        <v>2024</v>
      </c>
      <c r="G161" s="171">
        <f t="shared" si="31"/>
        <v>4.1379310344827589</v>
      </c>
      <c r="H161" s="171">
        <f>[1]SolarEdge!C64/1000</f>
        <v>62.104999999999997</v>
      </c>
      <c r="I161" s="171">
        <f>[1]SolarEdge!D64/1000</f>
        <v>332.01799999999997</v>
      </c>
    </row>
    <row r="162" spans="1:9" x14ac:dyDescent="0.25">
      <c r="A162" s="47">
        <v>45382</v>
      </c>
      <c r="B162" s="2">
        <v>34195</v>
      </c>
      <c r="C162" s="14">
        <f t="shared" si="32"/>
        <v>45382</v>
      </c>
      <c r="D162" s="169">
        <f t="shared" si="28"/>
        <v>45382</v>
      </c>
      <c r="E162" s="170">
        <f t="shared" si="29"/>
        <v>3</v>
      </c>
      <c r="F162" s="170">
        <f t="shared" si="30"/>
        <v>2024</v>
      </c>
      <c r="G162" s="171">
        <f t="shared" si="31"/>
        <v>6.4838709677419351</v>
      </c>
      <c r="H162" s="171">
        <f>[1]SolarEdge!C65/1000</f>
        <v>123.705</v>
      </c>
      <c r="I162" s="171">
        <f>[1]SolarEdge!D65/1000</f>
        <v>290.44900000000001</v>
      </c>
    </row>
    <row r="163" spans="1:9" x14ac:dyDescent="0.25">
      <c r="A163" s="47">
        <v>45412</v>
      </c>
      <c r="B163" s="2">
        <v>34495</v>
      </c>
      <c r="C163" s="14">
        <f t="shared" si="32"/>
        <v>45412</v>
      </c>
      <c r="D163" s="169">
        <f t="shared" si="28"/>
        <v>45412</v>
      </c>
      <c r="E163" s="170">
        <f t="shared" si="29"/>
        <v>4</v>
      </c>
      <c r="F163" s="170">
        <f t="shared" si="30"/>
        <v>2024</v>
      </c>
      <c r="G163" s="171">
        <f t="shared" si="31"/>
        <v>10</v>
      </c>
      <c r="H163" s="171">
        <f>[1]SolarEdge!C66/1000</f>
        <v>221.785</v>
      </c>
      <c r="I163" s="171">
        <f>[1]SolarEdge!D66/1000</f>
        <v>177.477</v>
      </c>
    </row>
    <row r="164" spans="1:9" x14ac:dyDescent="0.25">
      <c r="A164" s="47">
        <v>45443</v>
      </c>
      <c r="B164" s="2">
        <v>34853</v>
      </c>
      <c r="C164" s="14">
        <f t="shared" si="32"/>
        <v>45443</v>
      </c>
      <c r="D164" s="169">
        <f t="shared" si="28"/>
        <v>45443</v>
      </c>
      <c r="E164" s="170">
        <f t="shared" si="29"/>
        <v>5</v>
      </c>
      <c r="F164" s="170">
        <f t="shared" si="30"/>
        <v>2024</v>
      </c>
      <c r="G164" s="171">
        <f t="shared" si="31"/>
        <v>11.548387096774194</v>
      </c>
      <c r="H164" s="171">
        <f>[1]SolarEdge!C67/1000</f>
        <v>150.43600000000001</v>
      </c>
      <c r="I164" s="171">
        <f>[1]SolarEdge!D67/1000</f>
        <v>163.756</v>
      </c>
    </row>
    <row r="165" spans="1:9" x14ac:dyDescent="0.25">
      <c r="A165" s="47">
        <v>45473</v>
      </c>
      <c r="B165" s="2">
        <v>35230</v>
      </c>
      <c r="C165" s="14">
        <f t="shared" si="32"/>
        <v>45473</v>
      </c>
      <c r="D165" s="169">
        <f t="shared" si="28"/>
        <v>45473</v>
      </c>
      <c r="E165" s="170">
        <f t="shared" si="29"/>
        <v>6</v>
      </c>
      <c r="F165" s="170">
        <f t="shared" si="30"/>
        <v>2024</v>
      </c>
      <c r="G165" s="171">
        <f t="shared" si="31"/>
        <v>12.566666666666666</v>
      </c>
      <c r="H165" s="171">
        <f>[1]SolarEdge!C68/1000</f>
        <v>150.06299999999999</v>
      </c>
      <c r="I165" s="171">
        <f>[1]SolarEdge!D68/1000</f>
        <v>125.79900000000001</v>
      </c>
    </row>
    <row r="166" spans="1:9" x14ac:dyDescent="0.25">
      <c r="A166" s="47">
        <v>45504</v>
      </c>
      <c r="B166" s="2">
        <v>35644</v>
      </c>
      <c r="C166" s="14">
        <f t="shared" si="32"/>
        <v>45504</v>
      </c>
      <c r="D166" s="169">
        <f t="shared" si="28"/>
        <v>45504</v>
      </c>
      <c r="E166" s="170">
        <f t="shared" si="29"/>
        <v>7</v>
      </c>
      <c r="F166" s="170">
        <f t="shared" si="30"/>
        <v>2024</v>
      </c>
      <c r="G166" s="171">
        <f t="shared" si="31"/>
        <v>13.35483870967742</v>
      </c>
      <c r="H166" s="171">
        <f>[1]SolarEdge!C69/1000</f>
        <v>139.18799999999999</v>
      </c>
      <c r="I166" s="171">
        <f>[1]SolarEdge!D69/1000</f>
        <v>202.74600000000001</v>
      </c>
    </row>
    <row r="167" spans="1:9" x14ac:dyDescent="0.25">
      <c r="A167" s="47">
        <v>45535</v>
      </c>
      <c r="B167" s="2">
        <v>36097</v>
      </c>
      <c r="C167" s="14">
        <f t="shared" si="32"/>
        <v>45535</v>
      </c>
      <c r="D167" s="169">
        <f t="shared" si="28"/>
        <v>45535</v>
      </c>
      <c r="E167" s="170">
        <f t="shared" si="29"/>
        <v>8</v>
      </c>
      <c r="F167" s="170">
        <f t="shared" si="30"/>
        <v>2024</v>
      </c>
      <c r="G167" s="171">
        <f t="shared" si="31"/>
        <v>14.612903225806452</v>
      </c>
      <c r="H167" s="171"/>
      <c r="I167" s="171"/>
    </row>
    <row r="168" spans="1:9" x14ac:dyDescent="0.25">
      <c r="A168" s="47">
        <v>45565</v>
      </c>
      <c r="B168" s="2">
        <v>36460</v>
      </c>
      <c r="C168" s="14">
        <f t="shared" si="32"/>
        <v>45565</v>
      </c>
      <c r="D168" s="169">
        <f t="shared" si="28"/>
        <v>45565</v>
      </c>
      <c r="E168" s="170">
        <f t="shared" si="29"/>
        <v>9</v>
      </c>
      <c r="F168" s="170">
        <f t="shared" si="30"/>
        <v>2024</v>
      </c>
      <c r="G168" s="171">
        <f t="shared" si="31"/>
        <v>12.1</v>
      </c>
      <c r="H168" s="171"/>
      <c r="I168" s="171"/>
    </row>
    <row r="169" spans="1:9" x14ac:dyDescent="0.25">
      <c r="A169" s="47">
        <v>45596</v>
      </c>
      <c r="C169" s="14">
        <f t="shared" si="32"/>
        <v>45596</v>
      </c>
      <c r="D169" s="169">
        <f t="shared" si="28"/>
        <v>45596</v>
      </c>
      <c r="E169" s="170">
        <f t="shared" si="29"/>
        <v>10</v>
      </c>
      <c r="F169" s="170">
        <f t="shared" si="30"/>
        <v>2024</v>
      </c>
      <c r="G169" s="172"/>
      <c r="H169" s="171"/>
      <c r="I169" s="171"/>
    </row>
    <row r="170" spans="1:9" x14ac:dyDescent="0.25">
      <c r="A170" s="47">
        <v>45626</v>
      </c>
      <c r="C170" s="14">
        <f t="shared" si="32"/>
        <v>45626</v>
      </c>
      <c r="D170" s="169">
        <f t="shared" si="28"/>
        <v>45626</v>
      </c>
      <c r="E170" s="170">
        <f t="shared" si="29"/>
        <v>11</v>
      </c>
      <c r="F170" s="170">
        <f t="shared" si="30"/>
        <v>2024</v>
      </c>
      <c r="G170" s="172"/>
      <c r="H170" s="171"/>
      <c r="I170" s="171"/>
    </row>
    <row r="171" spans="1:9" x14ac:dyDescent="0.25">
      <c r="A171" s="47">
        <v>45657</v>
      </c>
      <c r="C171" s="14">
        <f t="shared" si="32"/>
        <v>45657</v>
      </c>
      <c r="D171" s="169">
        <f t="shared" si="28"/>
        <v>45657</v>
      </c>
      <c r="E171" s="170">
        <f t="shared" si="29"/>
        <v>12</v>
      </c>
      <c r="F171" s="170">
        <f t="shared" si="30"/>
        <v>2024</v>
      </c>
      <c r="G171" s="172"/>
      <c r="H171" s="171"/>
      <c r="I171" s="171"/>
    </row>
  </sheetData>
  <mergeCells count="17">
    <mergeCell ref="AH21:AI21"/>
    <mergeCell ref="AH22:AI22"/>
    <mergeCell ref="AY22:BG22"/>
    <mergeCell ref="AR36:AW36"/>
    <mergeCell ref="AU5:AV5"/>
    <mergeCell ref="AU6:AV6"/>
    <mergeCell ref="AU7:AV7"/>
    <mergeCell ref="AU8:AV8"/>
    <mergeCell ref="AR17:AV17"/>
    <mergeCell ref="AF18:AH18"/>
    <mergeCell ref="P2:W2"/>
    <mergeCell ref="AF3:AI3"/>
    <mergeCell ref="AL3:AO3"/>
    <mergeCell ref="AR3:AS3"/>
    <mergeCell ref="AU3:AW3"/>
    <mergeCell ref="AH4:AI4"/>
    <mergeCell ref="AJ4:AK4"/>
  </mergeCells>
  <hyperlinks>
    <hyperlink ref="AB46" r:id="rId1" xr:uid="{02571101-7F7C-403A-9DDE-B7F411232756}"/>
    <hyperlink ref="AB45" r:id="rId2" xr:uid="{E0E4CB3D-76D5-4BCE-AAE9-0F3C05ECE268}"/>
    <hyperlink ref="AB44" r:id="rId3" xr:uid="{853AAD81-B4F4-4A85-9452-F28AB9001984}"/>
    <hyperlink ref="AB47" r:id="rId4" xr:uid="{F08AEC48-0179-4978-B625-6199866439C4}"/>
    <hyperlink ref="AB48" r:id="rId5" xr:uid="{9BFC7444-3691-4F19-9DA1-9BF368DA198B}"/>
    <hyperlink ref="AB49" r:id="rId6" xr:uid="{787C0329-D036-4BA2-9F05-72DA955D33CC}"/>
  </hyperlinks>
  <pageMargins left="0.7" right="0.7" top="0.75" bottom="0.75" header="0.3" footer="0.3"/>
  <drawing r:id="rId7"/>
  <legacy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B0087EDCD8245AE4112745AA31B00" ma:contentTypeVersion="14" ma:contentTypeDescription="Create a new document." ma:contentTypeScope="" ma:versionID="275b2da03a9c965b555f219195432c6c">
  <xsd:schema xmlns:xsd="http://www.w3.org/2001/XMLSchema" xmlns:xs="http://www.w3.org/2001/XMLSchema" xmlns:p="http://schemas.microsoft.com/office/2006/metadata/properties" xmlns:ns3="28801aed-ff08-4238-a1f2-0d0cf1845f02" targetNamespace="http://schemas.microsoft.com/office/2006/metadata/properties" ma:root="true" ma:fieldsID="d08125df97ba90425fa1b1bf8e1118f7" ns3:_="">
    <xsd:import namespace="28801aed-ff08-4238-a1f2-0d0cf1845f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01aed-ff08-4238-a1f2-0d0cf1845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801aed-ff08-4238-a1f2-0d0cf1845f02" xsi:nil="true"/>
  </documentManagement>
</p:properties>
</file>

<file path=customXml/itemProps1.xml><?xml version="1.0" encoding="utf-8"?>
<ds:datastoreItem xmlns:ds="http://schemas.openxmlformats.org/officeDocument/2006/customXml" ds:itemID="{0AE49006-7C7C-4F55-B877-650DD204F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01aed-ff08-4238-a1f2-0d0cf1845f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622016-2EBB-41CC-B2B0-4F10E66E7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256CD2-7AFC-45DA-9BA5-7E826F7412B4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8801aed-ff08-4238-a1f2-0d0cf1845f02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Davies</dc:creator>
  <cp:lastModifiedBy>Paul Davies</cp:lastModifiedBy>
  <dcterms:created xsi:type="dcterms:W3CDTF">2024-10-24T19:00:19Z</dcterms:created>
  <dcterms:modified xsi:type="dcterms:W3CDTF">2024-10-24T19:01:54Z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0x01010057DB0087EDCD8245AE4112745AA31B00</vt:lpwstr>
  </property>
</Properties>
</file>